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8c3ZTySFdhJ6JDRRkWVxl69TZnLdPeHTl0n5sbA5tJQw+tRbuYakUHazZl1gnnDMjXiV9nUHuSiSUpFbLruDlQ==" workbookSaltValue="4vzY7eg9fbgUz97fg970j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Z19" i="8"/>
  <c r="AL13" i="16"/>
  <c r="S13" i="16"/>
  <c r="P13" i="16"/>
  <c r="AN13" i="20"/>
  <c r="Z13" i="17"/>
  <c r="AN17" i="11"/>
  <c r="M18" i="2"/>
  <c r="D17" i="6"/>
  <c r="H13" i="12"/>
  <c r="T19" i="8"/>
  <c r="T13" i="12"/>
  <c r="BG12" i="8"/>
  <c r="BF9" i="8"/>
  <c r="I19" i="8"/>
  <c r="E13" i="17"/>
  <c r="T13" i="20"/>
  <c r="T13" i="16"/>
  <c r="AP13" i="16"/>
  <c r="T18" i="17"/>
  <c r="K20" i="20"/>
  <c r="Z20" i="20"/>
  <c r="AM20" i="20"/>
  <c r="AK20" i="20"/>
  <c r="W20" i="21"/>
  <c r="F20" i="20"/>
  <c r="J20" i="20"/>
  <c r="AF20" i="20"/>
  <c r="M20" i="20"/>
  <c r="AG20" i="20"/>
  <c r="S20" i="20"/>
  <c r="G17" i="3" l="1"/>
  <c r="AH13" i="16"/>
  <c r="BD15" i="13"/>
  <c r="BA13" i="8"/>
  <c r="BF12" i="8"/>
  <c r="AY13" i="8"/>
  <c r="BG9" i="8"/>
  <c r="BE9" i="8"/>
  <c r="BD15" i="8"/>
  <c r="G18" i="2"/>
  <c r="AC12" i="11"/>
  <c r="BF16" i="13"/>
  <c r="BG16" i="13"/>
  <c r="BD16" i="13"/>
  <c r="BE15" i="13"/>
  <c r="BE16" i="13"/>
  <c r="BD11" i="13"/>
  <c r="BE11" i="13"/>
  <c r="F11" i="16"/>
  <c r="R8" i="9"/>
  <c r="X16" i="17" s="1"/>
  <c r="AZ9" i="11"/>
  <c r="AZ19" i="11" s="1"/>
  <c r="L12" i="2"/>
  <c r="S16" i="17"/>
  <c r="R12" i="14"/>
  <c r="T9" i="11"/>
  <c r="AA16" i="16"/>
  <c r="AA11" i="16"/>
  <c r="U10" i="21"/>
  <c r="V17" i="16"/>
  <c r="L11" i="2"/>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X17" i="17" l="1"/>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P12" i="11" s="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H20" i="20"/>
  <c r="H20" i="17"/>
  <c r="AB20" i="20"/>
  <c r="O20" i="20"/>
  <c r="O16" i="11"/>
  <c r="Q15" i="11" l="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<sst xmlns="http://schemas.openxmlformats.org/spreadsheetml/2006/main" count="2094" uniqueCount="914">
  <si>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</si>
  <si>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</si>
  <si>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</si>
  <si>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</si>
  <si>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</si>
  <si>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</si>
  <si>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</si>
  <si>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</si>
  <si>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</si>
  <si>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</si>
  <si>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</si>
  <si>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</si>
  <si>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</si>
  <si>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</si>
  <si>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</si>
  <si>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</si>
  <si>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</si>
  <si>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</si>
  <si>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</si>
  <si>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</si>
  <si>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</si>
  <si>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</si>
  <si>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</si>
  <si>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</si>
  <si>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</si>
  <si>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</si>
  <si>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</si>
  <si>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</si>
  <si>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</si>
  <si>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</si>
  <si>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</si>
  <si>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</si>
  <si>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</si>
  <si>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</si>
  <si>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</si>
  <si>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</si>
  <si>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</si>
  <si>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</si>
  <si>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</si>
  <si>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</si>
  <si>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</si>
  <si>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</si>
  <si>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</si>
  <si>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</si>
  <si>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</si>
  <si>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</si>
  <si>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</si>
  <si>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</si>
  <si>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</si>
  <si>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</si>
  <si>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</si>
  <si>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</si>
  <si>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</si>
  <si>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</si>
  <si>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</si>
  <si>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</si>
  <si>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</si>
  <si>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</si>
  <si>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</si>
  <si>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</si>
  <si>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</si>
  <si>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</si>
  <si>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</si>
  <si>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</si>
  <si>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</si>
  <si>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</si>
  <si>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</si>
  <si>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</si>
  <si>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</si>
  <si>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</si>
  <si>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</si>
  <si>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</si>
  <si>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</si>
  <si>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</si>
  <si>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</si>
  <si>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</si>
  <si>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</si>
  <si>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</si>
  <si>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</si>
  <si>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</si>
  <si>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</si>
  <si>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</si>
  <si>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</si>
  <si>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</si>
  <si>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</si>
  <si>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</si>
  <si>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</si>
  <si>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</si>
  <si>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</si>
  <si>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</si>
  <si>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</si>
  <si>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</si>
  <si>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</si>
  <si>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</si>
  <si>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</si>
  <si>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</si>
  <si>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</si>
  <si>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</si>
  <si>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</si>
  <si>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</si>
  <si>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</si>
  <si>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</si>
  <si>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</si>
  <si>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</si>
  <si>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</si>
  <si>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</si>
  <si>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</si>
  <si>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</si>
  <si>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</si>
  <si>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</si>
  <si>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</si>
  <si>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</si>
  <si>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</si>
  <si>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</si>
  <si>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</si>
  <si>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</si>
  <si>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</si>
  <si>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</si>
  <si>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</si>
  <si>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</si>
  <si>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</si>
  <si>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</si>
  <si>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</si>
  <si>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</si>
  <si>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</si>
  <si>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</si>
  <si>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</si>
  <si>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</si>
  <si>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</si>
  <si>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</si>
  <si>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</si>
  <si>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</si>
  <si>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</si>
  <si>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</si>
  <si>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</si>
  <si>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</si>
  <si>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</si>
  <si>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</si>
  <si>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</si>
  <si>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</si>
  <si>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</si>
  <si>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</si>
  <si>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</si>
  <si>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</si>
  <si>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</si>
  <si>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</si>
  <si>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</si>
  <si>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</si>
  <si>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</si>
  <si>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</si>
  <si>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</si>
  <si>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</si>
  <si>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</si>
  <si>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</si>
  <si>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</si>
  <si>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</si>
  <si>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</si>
  <si>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</si>
  <si>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</si>
  <si>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</si>
  <si>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</si>
  <si>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</si>
  <si>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</si>
  <si>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</si>
  <si>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</si>
  <si>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</si>
  <si>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</si>
  <si>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</si>
  <si>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</si>
  <si>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</si>
  <si>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</si>
  <si>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</si>
  <si>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</si>
  <si>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</si>
  <si>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</si>
  <si>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</si>
  <si>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</si>
  <si>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</si>
  <si>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</si>
  <si>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</si>
  <si>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</si>
  <si>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</si>
  <si>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</si>
  <si>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</si>
  <si>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</si>
  <si>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</si>
  <si>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</si>
  <si>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</si>
  <si>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</si>
  <si>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</si>
  <si>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</si>
  <si>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</si>
  <si>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</si>
  <si>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</si>
  <si>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</si>
  <si>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</si>
  <si>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</si>
  <si>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</si>
  <si>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</si>
  <si>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</si>
  <si>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</si>
  <si>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</si>
  <si>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</si>
  <si>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</si>
  <si>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</si>
  <si>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</si>
  <si>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</si>
  <si>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</si>
  <si>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</si>
  <si>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</si>
  <si>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</si>
  <si>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</si>
  <si>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</si>
  <si>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</si>
  <si>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</si>
  <si>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</si>
  <si>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</si>
  <si>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</si>
  <si>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</si>
  <si>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</si>
  <si>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</si>
  <si>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</si>
  <si>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</si>
  <si>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</si>
  <si>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</si>
  <si>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</si>
  <si>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</si>
  <si>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</si>
  <si>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</si>
  <si>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</si>
  <si>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</si>
  <si>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</si>
  <si>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</si>
  <si>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</si>
  <si>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</si>
  <si>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</si>
  <si>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</si>
  <si>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</si>
  <si>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</si>
  <si>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</si>
  <si>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</si>
  <si>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</si>
  <si>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</si>
  <si>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</si>
  <si>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</si>
  <si>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</si>
  <si>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</si>
  <si>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</si>
  <si>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</si>
  <si>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</si>
  <si>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</si>
  <si>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</si>
  <si>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</si>
  <si>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</si>
  <si>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</si>
  <si>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</si>
  <si>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</si>
  <si>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</si>
  <si>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</si>
  <si>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</si>
  <si>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</si>
  <si>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</si>
  <si>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</si>
  <si>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</si>
  <si>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</si>
  <si>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</si>
  <si>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</si>
  <si>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</si>
  <si>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</si>
  <si>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</si>
  <si>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</si>
  <si>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</si>
  <si>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</si>
  <si>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</si>
  <si>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</si>
  <si>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</si>
  <si>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</si>
  <si>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</si>
  <si>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</si>
  <si>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</si>
  <si>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</si>
  <si>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</si>
  <si>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</si>
  <si>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</si>
  <si>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</si>
  <si>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</si>
  <si>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</si>
  <si>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</si>
  <si>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</si>
  <si>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</si>
  <si>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</si>
  <si>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</si>
  <si>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</si>
  <si>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</si>
  <si>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</si>
  <si>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</si>
  <si>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</si>
  <si>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</si>
  <si>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</si>
  <si>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</si>
  <si>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</si>
  <si>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</si>
  <si>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</si>
  <si>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</si>
  <si>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</si>
  <si>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</si>
  <si>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</si>
  <si>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</si>
  <si>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</si>
  <si>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</si>
  <si>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</si>
  <si>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</si>
  <si>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</si>
  <si>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</si>
  <si>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</si>
  <si>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</si>
  <si>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</si>
  <si>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</si>
  <si>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</si>
  <si>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</si>
  <si>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</si>
  <si>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</si>
  <si>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</si>
  <si>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</si>
  <si>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</si>
  <si>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</si>
  <si>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</si>
  <si>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</si>
  <si>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</si>
  <si>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</si>
  <si>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</si>
  <si>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</si>
  <si>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</si>
  <si>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</si>
  <si>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</si>
  <si>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</si>
  <si>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</si>
  <si>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</si>
  <si>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</si>
  <si>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</si>
  <si>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</si>
  <si>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</si>
  <si>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</si>
  <si>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</si>
  <si>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</si>
  <si>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</si>
  <si>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</si>
  <si>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</si>
  <si>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</si>
  <si>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</si>
  <si>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</si>
  <si>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</si>
  <si>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</si>
  <si>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</si>
  <si>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</si>
  <si>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</si>
  <si>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</si>
  <si>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</si>
  <si>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</si>
  <si>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</si>
  <si>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</si>
  <si>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</si>
  <si>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</si>
  <si>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</si>
  <si>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</si>
  <si>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</si>
  <si>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</si>
  <si>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</si>
  <si>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</si>
  <si>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</si>
  <si>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</si>
  <si>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</si>
  <si>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</si>
  <si>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</si>
  <si>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</si>
  <si>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</si>
  <si>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</si>
  <si>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</si>
  <si>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</si>
  <si>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</si>
  <si>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</si>
  <si>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</si>
  <si>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</si>
  <si>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</si>
  <si>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</si>
  <si>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</si>
  <si>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</si>
  <si>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</si>
  <si>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</si>
  <si>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</si>
  <si>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</si>
  <si>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</si>
  <si>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</si>
  <si>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</si>
  <si>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</si>
  <si>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</si>
  <si>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</si>
  <si>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</si>
  <si>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</si>
  <si>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</si>
  <si>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</si>
  <si>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</si>
  <si>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</si>
  <si>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</si>
  <si>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</si>
  <si>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</si>
  <si>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</si>
  <si>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</si>
  <si>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</si>
  <si>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</si>
  <si>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</si>
  <si>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</si>
  <si>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</si>
  <si>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</si>
  <si>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</si>
  <si>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</si>
  <si>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</si>
  <si>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</si>
  <si>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</si>
  <si>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</si>
  <si>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</si>
  <si>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</si>
  <si>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</si>
  <si>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</si>
  <si>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</si>
  <si>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</si>
  <si>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</si>
  <si>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</si>
  <si>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</si>
  <si>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</si>
  <si>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</si>
  <si>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</si>
  <si>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</si>
  <si>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</si>
  <si>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</si>
  <si>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</si>
  <si>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</si>
  <si>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</si>
  <si>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</si>
  <si>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</si>
  <si>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</si>
  <si>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</si>
  <si>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</si>
  <si>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</si>
  <si>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</si>
  <si>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</si>
  <si>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</si>
  <si>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</si>
  <si>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</si>
  <si>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</si>
  <si>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</si>
  <si>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</si>
  <si>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</si>
  <si>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</si>
  <si>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</si>
  <si>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</si>
  <si>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</si>
  <si>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</si>
  <si>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</si>
  <si>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</si>
  <si>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</si>
  <si>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</si>
  <si>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</si>
  <si>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</si>
  <si>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</si>
  <si>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</si>
  <si>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</si>
  <si>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</si>
  <si>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</si>
  <si>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</si>
  <si>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</si>
  <si>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</si>
  <si>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</si>
  <si>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</si>
  <si>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</si>
  <si>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</si>
  <si>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</si>
  <si>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</si>
  <si>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</si>
  <si>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</si>
  <si>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</si>
  <si>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</si>
  <si>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</si>
  <si>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</si>
  <si>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</si>
  <si>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</si>
  <si>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</si>
  <si>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</si>
  <si>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</si>
  <si>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</si>
  <si>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</si>
  <si>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</si>
  <si>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</si>
  <si>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</si>
  <si>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</si>
  <si>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</si>
  <si>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</si>
  <si>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</si>
  <si>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</si>
  <si>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</si>
  <si>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</si>
  <si>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</si>
  <si>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</si>
  <si>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</si>
  <si>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</si>
  <si>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</si>
  <si>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</si>
  <si>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</si>
  <si>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</si>
  <si>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</si>
  <si>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</si>
  <si>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</si>
  <si>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</si>
  <si>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</si>
  <si>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</si>
  <si>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</si>
  <si>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</si>
  <si>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</si>
  <si>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</si>
  <si>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</si>
  <si>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</si>
  <si>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</si>
  <si>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</si>
  <si>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</si>
  <si>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</si>
  <si>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</si>
  <si>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</si>
  <si>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</si>
  <si>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</si>
  <si>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</si>
  <si>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</si>
  <si>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</si>
  <si>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</si>
  <si>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</si>
  <si>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</si>
  <si>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</si>
  <si>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</si>
  <si>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</si>
  <si>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</si>
  <si>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</si>
  <si>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</si>
  <si>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</si>
  <si>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</si>
  <si>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</si>
  <si>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</si>
  <si>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</si>
  <si>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</si>
  <si>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</si>
  <si>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</si>
  <si>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</si>
  <si>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</si>
  <si>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</si>
  <si>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</si>
  <si>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</si>
  <si>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</si>
  <si>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</si>
  <si>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</si>
  <si>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</si>
  <si>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</si>
  <si>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</si>
  <si>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</si>
  <si>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</si>
  <si>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</si>
  <si>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</si>
  <si>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</si>
  <si>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</si>
  <si>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</si>
  <si>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</si>
  <si>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</si>
  <si>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</si>
  <si>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</si>
  <si>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</si>
  <si>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</si>
  <si>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</si>
  <si>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</si>
  <si>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</si>
  <si>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</si>
  <si>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</si>
  <si>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</si>
  <si>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</si>
  <si>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</si>
  <si>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</si>
  <si>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</si>
  <si>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</si>
  <si>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</si>
  <si>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</si>
  <si>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</si>
  <si>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</si>
  <si>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</si>
  <si>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</si>
  <si>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</si>
  <si>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</si>
  <si>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</si>
  <si>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</si>
  <si>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</si>
  <si>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</si>
  <si>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</si>
  <si>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</si>
  <si>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</si>
  <si>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</si>
  <si>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</si>
  <si>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</si>
  <si>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</si>
  <si>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</si>
  <si>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</si>
  <si>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</si>
  <si>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</si>
  <si>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</si>
  <si>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</si>
  <si>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</si>
  <si>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</si>
  <si>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</si>
  <si>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</si>
  <si>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</si>
  <si>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</si>
  <si>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</si>
  <si>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</si>
  <si>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</si>
  <si>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</si>
  <si>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</si>
  <si>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</si>
  <si>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</si>
  <si>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</si>
  <si>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</si>
  <si>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</si>
  <si>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</si>
  <si>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</si>
  <si>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</si>
  <si>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</si>
  <si>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</si>
  <si>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</si>
  <si>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</si>
  <si>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</si>
  <si>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</si>
  <si>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</si>
  <si>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</si>
  <si>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</si>
  <si>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</si>
  <si>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</si>
  <si>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</si>
  <si>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</si>
  <si>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</si>
  <si>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</si>
  <si>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</si>
  <si>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</si>
  <si>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</si>
  <si>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</si>
  <si>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</si>
  <si>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</si>
  <si>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</si>
  <si>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</si>
  <si>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</si>
  <si>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</si>
  <si>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</si>
  <si>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</si>
  <si>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</si>
  <si>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</si>
  <si>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</si>
  <si>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</si>
  <si>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</si>
  <si>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</si>
  <si>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</si>
  <si>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</si>
  <si>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</si>
  <si>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</si>
  <si>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</si>
  <si>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</si>
  <si>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</si>
  <si>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</si>
  <si>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</si>
  <si>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</si>
  <si>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</si>
  <si>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</si>
  <si>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</si>
  <si>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</si>
  <si>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</si>
  <si>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</si>
  <si>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</si>
  <si>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</si>
  <si>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</si>
  <si>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</si>
  <si>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</si>
  <si>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</si>
  <si>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</si>
  <si>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</si>
  <si>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</si>
  <si>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</si>
  <si>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</si>
  <si>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</si>
  <si>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</si>
  <si>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</si>
  <si>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</si>
  <si>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</si>
  <si>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</si>
  <si>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</si>
  <si>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</si>
  <si>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</si>
  <si>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</si>
  <si>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</si>
  <si>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</si>
  <si>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</si>
  <si>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</si>
  <si>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</si>
  <si>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</si>
  <si>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</si>
  <si>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</si>
  <si>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</si>
  <si>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</si>
  <si>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</si>
  <si>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</si>
  <si>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</si>
  <si>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</si>
  <si>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</si>
  <si>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</si>
  <si>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</si>
  <si>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</si>
  <si>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</si>
  <si>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</si>
  <si>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</si>
  <si>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</si>
  <si>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</si>
  <si>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</si>
  <si>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</si>
  <si>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</si>
  <si>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</si>
  <si>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</si>
  <si>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</si>
  <si>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</si>
  <si>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</si>
  <si>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</si>
  <si>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</si>
  <si>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</si>
  <si>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</si>
  <si>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</si>
  <si>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</si>
  <si>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</si>
  <si>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</si>
  <si>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</si>
  <si>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</si>
  <si>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</si>
  <si>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</si>
  <si>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</si>
  <si>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</si>
  <si>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</si>
  <si>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</si>
  <si>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</si>
  <si>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</si>
  <si>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</si>
  <si>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</si>
  <si>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</si>
  <si>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</si>
  <si>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</si>
  <si>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</si>
  <si>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</si>
  <si>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</si>
  <si>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</si>
  <si>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</si>
  <si>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</si>
  <si>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</si>
  <si>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</si>
  <si>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</si>
  <si>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</si>
  <si>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</si>
  <si>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</si>
  <si>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</si>
  <si>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</si>
  <si>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</si>
  <si>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</si>
  <si>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</si>
  <si>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</si>
  <si>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</si>
  <si>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</si>
  <si>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</si>
  <si>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</si>
  <si>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</si>
  <si>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</si>
  <si>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</si>
  <si>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</si>
  <si>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</si>
  <si>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</si>
  <si>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</si>
  <si>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</si>
  <si>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</si>
  <si>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</si>
  <si>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</si>
  <si>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</si>
  <si>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</si>
  <si>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</si>
  <si>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</si>
  <si>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</si>
  <si>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</si>
  <si>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</si>
  <si>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</si>
  <si>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</si>
  <si>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</si>
  <si>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</si>
  <si>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</si>
  <si>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</si>
  <si>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</si>
  <si>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</si>
  <si>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</si>
  <si>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</si>
  <si>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</si>
  <si>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</si>
  <si>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</si>
  <si>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</si>
  <si>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</si>
  <si>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</si>
  <si>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</si>
  <si>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</si>
  <si>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</si>
  <si>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</si>
  <si>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</si>
  <si>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</si>
  <si>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</si>
  <si>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</si>
  <si>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</si>
  <si>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</si>
  <si>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</si>
  <si>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</si>
  <si>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</si>
  <si>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</si>
  <si>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</si>
  <si>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</si>
  <si>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</si>
  <si>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</si>
  <si>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</si>
  <si>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</si>
  <si>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</si>
  <si>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</si>
  <si>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</si>
  <si>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</si>
  <si>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</si>
  <si>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</si>
  <si>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</si>
  <si>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</si>
  <si>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</si>
  <si>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</si>
  <si>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</si>
  <si>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</si>
  <si>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</si>
  <si>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</si>
  <si>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</si>
  <si>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</si>
  <si>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</si>
  <si>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</si>
  <si>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</si>
  <si>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</si>
  <si>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</si>
  <si>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</si>
  <si>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</si>
  <si>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</si>
  <si>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</si>
  <si>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</si>
  <si>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</si>
  <si>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</si>
  <si>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</si>
  <si>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</si>
  <si>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</si>
  <si>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</si>
  <si>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</si>
  <si>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</si>
  <si>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</si>
  <si>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</si>
  <si>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</si>
  <si>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</si>
  <si>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</si>
  <si>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</si>
  <si>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</si>
  <si>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</si>
  <si>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</si>
  <si>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</si>
  <si>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</si>
  <si>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</si>
  <si>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</si>
  <si>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</si>
  <si>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</si>
  <si>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</si>
  <si>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</si>
  <si>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</si>
  <si>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</si>
  <si>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</si>
  <si>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</si>
  <si>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</si>
  <si>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</si>
  <si>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</si>
  <si>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</si>
  <si>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</si>
  <si>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</si>
  <si>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</si>
  <si>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</si>
  <si>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</si>
  <si>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</si>
  <si>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</si>
  <si>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</si>
  <si>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</si>
  <si>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</si>
  <si>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</si>
  <si>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</si>
  <si>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</si>
  <si>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</si>
  <si>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</si>
  <si>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</si>
  <si>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</si>
  <si>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</si>
  <si>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</si>
  <si>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</si>
  <si>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</si>
  <si>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</si>
  <si>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</si>
  <si>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</si>
  <si>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AVILA</t>
  </si>
  <si>
    <t>Resumenes por Partidos Judiciales</t>
  </si>
  <si>
    <t>ARENAS DE SAN PEDRO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</si>
</sst>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0DPSf+eVSTtZ3kEEjobIO8GwZT+hEq9w1+n3G2mXsJ1hAzg8G8FfaD6Ig3h8UmNLBDdkVqXlVyjf17YhJrAKg==" saltValue="DvvDNP9sFdCJYy8Z7HQg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12</v>
      </c>
      <c r="F10" s="229">
        <f>IF(ISNUMBER(Datos!K10),Datos!K10," - ")</f>
        <v>6</v>
      </c>
      <c r="G10" s="1037" t="str">
        <f>IF(Datos!E10&lt;&gt;"",Datos!E10,Datos!D10)</f>
        <v>37</v>
      </c>
      <c r="H10" s="230">
        <f>IF(ISNUMBER(Datos!L10),Datos!L10," - ")</f>
        <v>12</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8.2111215834118756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12</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510</v>
      </c>
      <c r="D16" s="228">
        <f>IF(ISNUMBER(IF(D_I="SI",Datos!I16,Datos!I16+Datos!AC16)),IF(D_I="SI",Datos!I16,Datos!I16+Datos!AC16)," - ")</f>
        <v>501</v>
      </c>
      <c r="E16" s="229">
        <f>IF(ISNUMBER(IF(D_I="SI",Datos!J16,Datos!J16+Datos!AD16)),IF(D_I="SI",Datos!J16,Datos!J16+Datos!AD16)," - ")</f>
        <v>1225</v>
      </c>
      <c r="F16" s="229">
        <f>IF(ISNUMBER(IF(D_I="SI",Datos!K16,Datos!K16+Datos!AE16)),IF(D_I="SI",Datos!K16,Datos!K16+Datos!AE16)," - ")</f>
        <v>909</v>
      </c>
      <c r="G16" s="1037" t="str">
        <f>IF(Datos!E16&lt;&gt;"",Datos!E16,Datos!D16)</f>
        <v>04</v>
      </c>
      <c r="H16" s="230">
        <f>IF(ISNUMBER(IF(D_I="SI",Datos!L16,Datos!L16+Datos!AF16)),IF(D_I="SI",Datos!L16,Datos!L16+Datos!AF16)," - ")</f>
        <v>826</v>
      </c>
      <c r="I16" s="1047" t="str">
        <f>IF(ISNUMBER(Datos!AS16/Datos!BM16),Datos!AS16/Datos!BM16," - ")</f>
        <v xml:space="preserve"> - </v>
      </c>
      <c r="J16" s="1048">
        <f>IF(ISNUMBER(Datos!BY16/Datos!CN16),Datos!BY16/Datos!CN16," - ")</f>
        <v>0</v>
      </c>
      <c r="K16" s="233">
        <f t="shared" si="3"/>
        <v>0.61960784313725492</v>
      </c>
      <c r="L16" s="1028">
        <f>IF(ISNUMBER(NºAsuntos!I16/NºAsuntos!G16),(NºAsuntos!I16/NºAsuntos!G16)*11," - ")</f>
        <v>9.9955995599559948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83</v>
      </c>
      <c r="D17" s="228">
        <f>IF(ISNUMBER(IF(D_I="SI",Datos!I17,Datos!I17+Datos!AC17)),IF(D_I="SI",Datos!I17,Datos!I17+Datos!AC17)," - ")</f>
        <v>57</v>
      </c>
      <c r="E17" s="229">
        <f>IF(ISNUMBER(IF(D_I="SI",Datos!J17,Datos!J17+Datos!AD17)),IF(D_I="SI",Datos!J17,Datos!J17+Datos!AD17)," - ")</f>
        <v>189</v>
      </c>
      <c r="F17" s="229">
        <f>IF(ISNUMBER(IF(D_I="SI",Datos!K17,Datos!K17+Datos!AE17)),IF(D_I="SI",Datos!K17,Datos!K17+Datos!AE17)," - ")</f>
        <v>133</v>
      </c>
      <c r="G17" s="1037" t="str">
        <f>IF(Datos!E17&lt;&gt;"",Datos!E17,Datos!D17)</f>
        <v>37</v>
      </c>
      <c r="H17" s="230">
        <f>IF(ISNUMBER(IF(D_I="SI",Datos!L17,Datos!L17+Datos!AF17)),IF(D_I="SI",Datos!L17,Datos!L17+Datos!AF17)," - ")</f>
        <v>139</v>
      </c>
      <c r="I17" s="1047" t="str">
        <f>IF(ISNUMBER(Datos!AS17/Datos!BM17),Datos!AS17/Datos!BM17," - ")</f>
        <v xml:space="preserve"> - </v>
      </c>
      <c r="J17" s="1048" t="str">
        <f>IF(ISNUMBER((Datos!BY17+Datos!BZ17)/Datos!CN17),(Datos!BY17+Datos!BZ17)/Datos!CN17," - ")</f>
        <v xml:space="preserve"> - </v>
      </c>
      <c r="K17" s="233">
        <f t="shared" si="3"/>
        <v>0.67469879518072284</v>
      </c>
      <c r="L17" s="1028">
        <f>IF(ISNUMBER(NºAsuntos!I17/NºAsuntos!G17),(NºAsuntos!I17/NºAsuntos!G17)*11," - ")</f>
        <v>11.496240601503761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593</v>
      </c>
      <c r="D18" s="1052">
        <f>SUBTOTAL(9,D15:D17)</f>
        <v>558</v>
      </c>
      <c r="E18" s="1053">
        <f>SUBTOTAL(9,E15:E17)</f>
        <v>1414</v>
      </c>
      <c r="F18" s="1053">
        <f>SUBTOTAL(9,F15:F17)</f>
        <v>1042</v>
      </c>
      <c r="G18" s="1055" t="str">
        <f ca="1">INDIRECT(CONCATENATE("G",ROW()-1))</f>
        <v>37</v>
      </c>
      <c r="H18" s="1056">
        <f ca="1">SUMIF(G$14:G17,G18,H$14:H17)</f>
        <v>139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599</v>
      </c>
      <c r="D19" s="1074">
        <f>SUBTOTAL(9,D9:D18)</f>
        <v>564</v>
      </c>
      <c r="E19" s="1075">
        <f>SUBTOTAL(9,E9:E18)</f>
        <v>1426</v>
      </c>
      <c r="F19" s="1075">
        <f>SUBTOTAL(9,F9:F18)</f>
        <v>1048</v>
      </c>
      <c r="G19" s="1076"/>
      <c r="H19" s="1077">
        <f ca="1">SUMIF(B9:B18,"TOTAL",H9:H18)</f>
        <v>139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fpG0Zf316TLVGq3NjxfjiarEAglIa5YOOqW6wLmBAPgFkG4SzY1dCsAq56LgeWZFqDZ0T5nqyUQ7aCeywieCnw==" saltValue="8Ty1A3Fy9vrWYWkqCSoc6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1r+FidTQZY6Y4i82eXK9sComY1JCyywMhSxkbwiUp+mLZwLa53pY03Cmhov/Ht6dmCD/iCEYeIpASy9EI2HLtA==" saltValue="CKLzddlUqRabgMqDTKN0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v>
      </c>
      <c r="J10" s="184">
        <v>12</v>
      </c>
      <c r="K10" s="184">
        <v>6</v>
      </c>
      <c r="L10" s="184">
        <v>12</v>
      </c>
      <c r="M10" s="184">
        <v>4</v>
      </c>
      <c r="N10" s="184">
        <v>0</v>
      </c>
      <c r="O10" s="184">
        <v>0</v>
      </c>
      <c r="P10" s="184">
        <v>0</v>
      </c>
      <c r="Q10" s="184">
        <v>0</v>
      </c>
      <c r="R10" s="184">
        <v>0</v>
      </c>
      <c r="S10" s="184">
        <v>11</v>
      </c>
      <c r="T10" s="184">
        <v>3</v>
      </c>
      <c r="U10" s="184">
        <v>8</v>
      </c>
      <c r="V10" s="184">
        <v>6</v>
      </c>
      <c r="W10" s="184">
        <v>7</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11</v>
      </c>
      <c r="AZ10" s="129">
        <f t="shared" si="0"/>
        <v>3</v>
      </c>
      <c r="BA10" s="129">
        <f t="shared" si="0"/>
        <v>8</v>
      </c>
      <c r="BB10" s="129">
        <f t="shared" si="0"/>
        <v>6</v>
      </c>
      <c r="BC10" s="125">
        <f t="shared" si="0"/>
        <v>7</v>
      </c>
      <c r="BD10" s="126">
        <f>IF(ISNUMBER(BA10/AZ10),BA10/AZ10," - ")</f>
        <v>2.6666666666666665</v>
      </c>
      <c r="BE10" s="127">
        <f>IF(ISNUMBER(BB10/BA10),BB10/BA10, " - ")</f>
        <v>0.75</v>
      </c>
      <c r="BF10" s="127">
        <f>IF(ISNUMBER(BC10/BA10),BC10/BA10, " - ")</f>
        <v>0.875</v>
      </c>
      <c r="BG10" s="199">
        <f>IF(ISNUMBER((AY10+AZ10)/BA10),(AY10+AZ10)/BA10," - ")</f>
        <v>1.75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454</v>
      </c>
      <c r="J12" s="186">
        <v>1317</v>
      </c>
      <c r="K12" s="186">
        <v>1004</v>
      </c>
      <c r="L12" s="186">
        <v>767</v>
      </c>
      <c r="M12" s="186">
        <v>289</v>
      </c>
      <c r="N12" s="186">
        <v>255</v>
      </c>
      <c r="O12" s="184">
        <v>146</v>
      </c>
      <c r="P12" s="186">
        <v>315</v>
      </c>
      <c r="Q12" s="186">
        <v>155</v>
      </c>
      <c r="R12" s="186">
        <v>1261</v>
      </c>
      <c r="S12" s="186">
        <v>489</v>
      </c>
      <c r="T12" s="186">
        <v>980</v>
      </c>
      <c r="U12" s="186">
        <v>1015</v>
      </c>
      <c r="V12" s="186">
        <v>454</v>
      </c>
      <c r="W12" s="186">
        <v>273</v>
      </c>
      <c r="X12" s="192">
        <v>419</v>
      </c>
      <c r="Y12" s="194">
        <v>21</v>
      </c>
      <c r="Z12" s="184">
        <v>61</v>
      </c>
      <c r="AA12" s="184">
        <v>57</v>
      </c>
      <c r="AB12" s="184">
        <v>25</v>
      </c>
      <c r="AC12" s="186">
        <v>0</v>
      </c>
      <c r="AD12" s="186">
        <v>0</v>
      </c>
      <c r="AE12" s="186">
        <v>0</v>
      </c>
      <c r="AF12" s="192">
        <v>0</v>
      </c>
      <c r="AG12" s="205">
        <v>13</v>
      </c>
      <c r="AH12" s="186">
        <v>95</v>
      </c>
      <c r="AI12" s="186">
        <v>87</v>
      </c>
      <c r="AJ12" s="206">
        <v>21</v>
      </c>
      <c r="AK12" s="185">
        <v>0</v>
      </c>
      <c r="AL12" s="186">
        <v>0</v>
      </c>
      <c r="AM12" s="186">
        <v>0</v>
      </c>
      <c r="AN12" s="192">
        <v>0</v>
      </c>
      <c r="AO12" s="262">
        <v>2</v>
      </c>
      <c r="AP12" s="158">
        <v>2</v>
      </c>
      <c r="AQ12" s="158">
        <v>2</v>
      </c>
      <c r="AR12" s="157">
        <v>2</v>
      </c>
      <c r="AS12" s="343" t="s">
        <v>803</v>
      </c>
      <c r="AT12" s="206"/>
      <c r="AU12" s="205"/>
      <c r="AV12" s="206"/>
      <c r="AW12" s="205"/>
      <c r="AX12" s="206"/>
      <c r="AY12" s="126">
        <f t="shared" si="1"/>
        <v>502</v>
      </c>
      <c r="AZ12" s="127">
        <f t="shared" si="1"/>
        <v>1075</v>
      </c>
      <c r="BA12" s="127">
        <f t="shared" si="1"/>
        <v>1102</v>
      </c>
      <c r="BB12" s="127">
        <f t="shared" si="1"/>
        <v>475</v>
      </c>
      <c r="BC12" s="125">
        <f>IF(ISNUMBER(X12),X12," - ")</f>
        <v>419</v>
      </c>
      <c r="BD12" s="126">
        <f t="shared" si="2"/>
        <v>1.0251162790697674</v>
      </c>
      <c r="BE12" s="127">
        <f t="shared" si="3"/>
        <v>0.43103448275862066</v>
      </c>
      <c r="BF12" s="127">
        <f t="shared" si="4"/>
        <v>0.38021778584392013</v>
      </c>
      <c r="BG12" s="199">
        <f t="shared" si="5"/>
        <v>1.4310344827586208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460</v>
      </c>
      <c r="J13" s="187">
        <f t="shared" si="6"/>
        <v>1329</v>
      </c>
      <c r="K13" s="187">
        <f t="shared" si="6"/>
        <v>1010</v>
      </c>
      <c r="L13" s="187">
        <f t="shared" si="6"/>
        <v>779</v>
      </c>
      <c r="M13" s="187">
        <f t="shared" si="6"/>
        <v>293</v>
      </c>
      <c r="N13" s="187">
        <f t="shared" si="6"/>
        <v>255</v>
      </c>
      <c r="O13" s="187">
        <f t="shared" si="6"/>
        <v>146</v>
      </c>
      <c r="P13" s="187">
        <f t="shared" si="6"/>
        <v>315</v>
      </c>
      <c r="Q13" s="187">
        <f t="shared" si="6"/>
        <v>155</v>
      </c>
      <c r="R13" s="187">
        <f t="shared" si="6"/>
        <v>1261</v>
      </c>
      <c r="S13" s="187">
        <f t="shared" si="6"/>
        <v>500</v>
      </c>
      <c r="T13" s="187">
        <f t="shared" si="6"/>
        <v>983</v>
      </c>
      <c r="U13" s="187">
        <f t="shared" si="6"/>
        <v>1023</v>
      </c>
      <c r="V13" s="187">
        <f t="shared" si="6"/>
        <v>460</v>
      </c>
      <c r="W13" s="187">
        <f t="shared" si="6"/>
        <v>280</v>
      </c>
      <c r="X13" s="187">
        <f t="shared" si="6"/>
        <v>420</v>
      </c>
      <c r="Y13" s="187">
        <f t="shared" si="6"/>
        <v>21</v>
      </c>
      <c r="Z13" s="187">
        <f t="shared" si="6"/>
        <v>61</v>
      </c>
      <c r="AA13" s="187">
        <f t="shared" si="6"/>
        <v>57</v>
      </c>
      <c r="AB13" s="187">
        <f t="shared" si="6"/>
        <v>25</v>
      </c>
      <c r="AC13" s="187">
        <f t="shared" si="6"/>
        <v>0</v>
      </c>
      <c r="AD13" s="187">
        <f t="shared" si="6"/>
        <v>0</v>
      </c>
      <c r="AE13" s="187">
        <f t="shared" si="6"/>
        <v>0</v>
      </c>
      <c r="AF13" s="187">
        <f>SUBTOTAL(9,AF9:AF12)</f>
        <v>0</v>
      </c>
      <c r="AG13" s="187">
        <f t="shared" ref="AG13:AT13" si="7">SUBTOTAL(9,AG8:AG12)</f>
        <v>13</v>
      </c>
      <c r="AH13" s="187">
        <f t="shared" si="7"/>
        <v>95</v>
      </c>
      <c r="AI13" s="187">
        <f t="shared" si="7"/>
        <v>87</v>
      </c>
      <c r="AJ13" s="187">
        <f t="shared" si="7"/>
        <v>21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513</v>
      </c>
      <c r="AZ13" s="187">
        <f>SUBTOTAL(9,AZ8:AZ12)</f>
        <v>1078</v>
      </c>
      <c r="BA13" s="187">
        <f>SUBTOTAL(9,BA8:BA12)</f>
        <v>1110</v>
      </c>
      <c r="BB13" s="187">
        <f>SUBTOTAL(9,BB8:BB12)</f>
        <v>481</v>
      </c>
      <c r="BC13" s="187">
        <f>SUBTOTAL(9,BC8:BC12)</f>
        <v>426</v>
      </c>
      <c r="BD13" s="208">
        <f>IF(ISNUMBER(BA13/AZ13),BA13/AZ13," - ")</f>
        <v>1.0296846011131726</v>
      </c>
      <c r="BE13" s="209">
        <f>IF(ISNUMBER(BB13/BA13),BB13/BA13, " - ")</f>
        <v>0.43333333333333335</v>
      </c>
      <c r="BF13" s="209">
        <f>IF(ISNUMBER(BC13/BA13),BC13/BA13, " - ")</f>
        <v>0.38378378378378381</v>
      </c>
      <c r="BG13" s="210">
        <f>IF(ISNUMBER((AY13+AZ13)/BA13),(AY13+AZ13)/BA13," - ")</f>
        <v>1.4333333333333333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501</v>
      </c>
      <c r="J16" s="186">
        <v>1225</v>
      </c>
      <c r="K16" s="186">
        <v>909</v>
      </c>
      <c r="L16" s="186">
        <v>826</v>
      </c>
      <c r="M16" s="186">
        <v>153</v>
      </c>
      <c r="N16" s="186">
        <v>530</v>
      </c>
      <c r="O16" s="184">
        <v>3</v>
      </c>
      <c r="P16" s="186">
        <v>10</v>
      </c>
      <c r="Q16" s="186">
        <v>4</v>
      </c>
      <c r="R16" s="186">
        <v>50</v>
      </c>
      <c r="S16" s="186">
        <v>472</v>
      </c>
      <c r="T16" s="186">
        <v>1061</v>
      </c>
      <c r="U16" s="186">
        <v>1032</v>
      </c>
      <c r="V16" s="186">
        <v>501</v>
      </c>
      <c r="W16" s="186">
        <v>139</v>
      </c>
      <c r="X16" s="192">
        <v>643</v>
      </c>
      <c r="Y16" s="205">
        <v>0</v>
      </c>
      <c r="Z16" s="186">
        <v>0</v>
      </c>
      <c r="AA16" s="186">
        <v>0</v>
      </c>
      <c r="AB16" s="186">
        <v>0</v>
      </c>
      <c r="AC16" s="186">
        <v>0</v>
      </c>
      <c r="AD16" s="186">
        <v>3</v>
      </c>
      <c r="AE16" s="186">
        <v>2</v>
      </c>
      <c r="AF16" s="192">
        <v>1</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472</v>
      </c>
      <c r="AZ16" s="127">
        <f t="shared" si="9"/>
        <v>1061</v>
      </c>
      <c r="BA16" s="127">
        <f t="shared" si="9"/>
        <v>1032</v>
      </c>
      <c r="BB16" s="127">
        <f t="shared" si="9"/>
        <v>501</v>
      </c>
      <c r="BC16" s="125">
        <f>IF(ISNUMBER(W16),W16," - ")</f>
        <v>139</v>
      </c>
      <c r="BD16" s="126">
        <f t="shared" ref="BD16" si="11">IF(ISNUMBER(BA16/AZ16),BA16/AZ16," - ")</f>
        <v>0.9726672950047125</v>
      </c>
      <c r="BE16" s="127">
        <f t="shared" ref="BE16" si="12">IF(ISNUMBER(BB16/BA16),BB16/BA16, " - ")</f>
        <v>0.48546511627906974</v>
      </c>
      <c r="BF16" s="127">
        <f t="shared" ref="BF16" si="13">IF(ISNUMBER(BC16/BA16),BC16/BA16, " - ")</f>
        <v>0.13468992248062014</v>
      </c>
      <c r="BG16" s="199">
        <f t="shared" si="10"/>
        <v>1.4854651162790697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57</v>
      </c>
      <c r="J17" s="186">
        <v>189</v>
      </c>
      <c r="K17" s="186">
        <v>133</v>
      </c>
      <c r="L17" s="186">
        <v>139</v>
      </c>
      <c r="M17" s="186">
        <v>14</v>
      </c>
      <c r="N17" s="186">
        <v>60</v>
      </c>
      <c r="O17" s="186">
        <v>0</v>
      </c>
      <c r="P17" s="186">
        <v>0</v>
      </c>
      <c r="Q17" s="186">
        <v>0</v>
      </c>
      <c r="R17" s="186">
        <v>0</v>
      </c>
      <c r="S17" s="186">
        <v>59</v>
      </c>
      <c r="T17" s="186">
        <v>76</v>
      </c>
      <c r="U17" s="186">
        <v>78</v>
      </c>
      <c r="V17" s="186">
        <v>57</v>
      </c>
      <c r="W17" s="186">
        <v>9</v>
      </c>
      <c r="X17" s="192">
        <v>71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59</v>
      </c>
      <c r="AZ17" s="129">
        <f t="shared" si="14"/>
        <v>76</v>
      </c>
      <c r="BA17" s="129">
        <f t="shared" si="14"/>
        <v>78</v>
      </c>
      <c r="BB17" s="129">
        <f t="shared" si="14"/>
        <v>57</v>
      </c>
      <c r="BC17" s="125">
        <f>IF(ISNUMBER(W17),W17," - ")</f>
        <v>9</v>
      </c>
      <c r="BD17" s="126">
        <f>IF(ISNUMBER(BA17/AZ17),BA17/AZ17," - ")</f>
        <v>1.0263157894736843</v>
      </c>
      <c r="BE17" s="127">
        <f>IF(ISNUMBER(BB17/BA17),BB17/BA17, " - ")</f>
        <v>0.73076923076923073</v>
      </c>
      <c r="BF17" s="127">
        <f>IF(ISNUMBER(BC17/BA17),BC17/BA17, " - ")</f>
        <v>0.11538461538461539</v>
      </c>
      <c r="BG17" s="199">
        <f>IF(ISNUMBER((AY17+AZ17)/BA17),(AY17+AZ17)/BA17," - ")</f>
        <v>1.7307692307692308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558</v>
      </c>
      <c r="J18" s="187">
        <f t="shared" si="15"/>
        <v>1414</v>
      </c>
      <c r="K18" s="187">
        <f t="shared" si="15"/>
        <v>1042</v>
      </c>
      <c r="L18" s="187">
        <f t="shared" si="15"/>
        <v>965</v>
      </c>
      <c r="M18" s="187">
        <f t="shared" si="15"/>
        <v>167</v>
      </c>
      <c r="N18" s="187">
        <f t="shared" si="15"/>
        <v>590</v>
      </c>
      <c r="O18" s="187">
        <f t="shared" si="15"/>
        <v>3</v>
      </c>
      <c r="P18" s="187">
        <f t="shared" si="15"/>
        <v>10</v>
      </c>
      <c r="Q18" s="187">
        <f t="shared" si="15"/>
        <v>4</v>
      </c>
      <c r="R18" s="187">
        <f t="shared" si="15"/>
        <v>50</v>
      </c>
      <c r="S18" s="187">
        <f t="shared" si="15"/>
        <v>531</v>
      </c>
      <c r="T18" s="187">
        <f t="shared" si="15"/>
        <v>1137</v>
      </c>
      <c r="U18" s="187">
        <f t="shared" si="15"/>
        <v>1110</v>
      </c>
      <c r="V18" s="187">
        <f t="shared" si="15"/>
        <v>558</v>
      </c>
      <c r="W18" s="187">
        <f t="shared" si="15"/>
        <v>148</v>
      </c>
      <c r="X18" s="187">
        <f t="shared" si="15"/>
        <v>714</v>
      </c>
      <c r="Y18" s="187">
        <f t="shared" si="15"/>
        <v>0</v>
      </c>
      <c r="Z18" s="187">
        <f t="shared" si="15"/>
        <v>0</v>
      </c>
      <c r="AA18" s="187">
        <f t="shared" si="15"/>
        <v>0</v>
      </c>
      <c r="AB18" s="187">
        <f t="shared" si="15"/>
        <v>0</v>
      </c>
      <c r="AC18" s="187">
        <f t="shared" si="15"/>
        <v>0</v>
      </c>
      <c r="AD18" s="187">
        <f t="shared" si="15"/>
        <v>3</v>
      </c>
      <c r="AE18" s="187">
        <f t="shared" si="15"/>
        <v>2</v>
      </c>
      <c r="AF18" s="187">
        <f t="shared" si="15"/>
        <v>1</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531</v>
      </c>
      <c r="AZ18" s="187">
        <f>SUBTOTAL(9,AZ14:AZ17)</f>
        <v>1137</v>
      </c>
      <c r="BA18" s="187">
        <f>SUBTOTAL(9,BA14:BA17)</f>
        <v>1110</v>
      </c>
      <c r="BB18" s="187">
        <f>SUBTOTAL(9,BB14:BB17)</f>
        <v>558</v>
      </c>
      <c r="BC18" s="187">
        <f>SUBTOTAL(9,BC14:BC17)</f>
        <v>148</v>
      </c>
      <c r="BD18" s="208">
        <f>IF(ISNUMBER(BA18/AZ18),BA18/AZ18," - ")</f>
        <v>0.9762532981530343</v>
      </c>
      <c r="BE18" s="209">
        <f>IF(ISNUMBER(BB18/BA18),BB18/BA18, " - ")</f>
        <v>0.50270270270270268</v>
      </c>
      <c r="BF18" s="209">
        <f>IF(ISNUMBER(BC18/BA18),BC18/BA18, " - ")</f>
        <v>0.13333333333333333</v>
      </c>
      <c r="BG18" s="210">
        <f>IF(ISNUMBER((AY18+AZ18)/BA18),(AY18+AZ18)/BA18," - ")</f>
        <v>1.5027027027027027</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1018</v>
      </c>
      <c r="J19" s="134">
        <f t="shared" si="18"/>
        <v>2743</v>
      </c>
      <c r="K19" s="134">
        <f t="shared" si="18"/>
        <v>2052</v>
      </c>
      <c r="L19" s="134">
        <f t="shared" si="18"/>
        <v>1744</v>
      </c>
      <c r="M19" s="134">
        <f t="shared" si="18"/>
        <v>460</v>
      </c>
      <c r="N19" s="134">
        <f t="shared" si="18"/>
        <v>845</v>
      </c>
      <c r="O19" s="134">
        <f t="shared" si="18"/>
        <v>149</v>
      </c>
      <c r="P19" s="134">
        <f t="shared" si="18"/>
        <v>325</v>
      </c>
      <c r="Q19" s="134">
        <f t="shared" si="18"/>
        <v>159</v>
      </c>
      <c r="R19" s="134">
        <f t="shared" si="18"/>
        <v>1311</v>
      </c>
      <c r="S19" s="134">
        <f t="shared" si="18"/>
        <v>1031</v>
      </c>
      <c r="T19" s="134">
        <f t="shared" si="18"/>
        <v>2120</v>
      </c>
      <c r="U19" s="134">
        <f t="shared" si="18"/>
        <v>2133</v>
      </c>
      <c r="V19" s="134">
        <f t="shared" si="18"/>
        <v>1018</v>
      </c>
      <c r="W19" s="134">
        <f t="shared" si="18"/>
        <v>428</v>
      </c>
      <c r="X19" s="134">
        <f t="shared" si="18"/>
        <v>1134</v>
      </c>
      <c r="Y19" s="134">
        <f t="shared" si="18"/>
        <v>21</v>
      </c>
      <c r="Z19" s="134">
        <f t="shared" si="18"/>
        <v>61</v>
      </c>
      <c r="AA19" s="134">
        <f t="shared" si="18"/>
        <v>57</v>
      </c>
      <c r="AB19" s="134">
        <f t="shared" si="18"/>
        <v>25</v>
      </c>
      <c r="AC19" s="134">
        <f t="shared" si="18"/>
        <v>0</v>
      </c>
      <c r="AD19" s="134">
        <f t="shared" si="18"/>
        <v>3</v>
      </c>
      <c r="AE19" s="134">
        <f t="shared" si="18"/>
        <v>2</v>
      </c>
      <c r="AF19" s="134">
        <f t="shared" si="18"/>
        <v>1</v>
      </c>
      <c r="AG19" s="134">
        <f t="shared" si="18"/>
        <v>13</v>
      </c>
      <c r="AH19" s="134">
        <f t="shared" si="18"/>
        <v>95</v>
      </c>
      <c r="AI19" s="134">
        <f t="shared" si="18"/>
        <v>87</v>
      </c>
      <c r="AJ19" s="134">
        <f t="shared" si="18"/>
        <v>21</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1044</v>
      </c>
      <c r="AZ19" s="134">
        <f>SUBTOTAL(9,AZ9:AZ18)</f>
        <v>2215</v>
      </c>
      <c r="BA19" s="134">
        <f>SUBTOTAL(9,BA9:BA18)</f>
        <v>2220</v>
      </c>
      <c r="BB19" s="134">
        <f>SUBTOTAL(9,BB9:BB18)</f>
        <v>1039</v>
      </c>
      <c r="BC19" s="135">
        <f>SUBTOTAL(9,BC9:BC18)</f>
        <v>574</v>
      </c>
      <c r="BD19" s="216">
        <f>IF(ISNUMBER(BA19/AZ19),BA19/AZ19," - ")</f>
        <v>1.0022573363431151</v>
      </c>
      <c r="BE19" s="213">
        <f>IF(ISNUMBER(BB19/BA19),BB19/BA19, " - ")</f>
        <v>0.46801801801801801</v>
      </c>
      <c r="BF19" s="213">
        <f>IF(ISNUMBER(BC19/BA19),BC19/BA19, " - ")</f>
        <v>0.25855855855855858</v>
      </c>
      <c r="BG19" s="135">
        <f>IF(ISNUMBER((AY19+AZ19)/BA19),(AY19+AZ19)/BA19," - ")</f>
        <v>1.468018018018018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yjH/qLBYcmX0ZhPiXzT3CwfFgSWw0l+BSxJD4tR22cGW81MEqEmbg5N6PeAD745ISLAmhjcPdJ4JfieJr8p1Q==" saltValue="YFBtORMFsE3nkMy83phkv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Sfz+6Fsa0ALnxMrk3+0j/rY4DW+uDKOQ1rAzHxNHBEib6vghvV0dSy/FvU+SHOLNU+YoLS4feQNc3GJESEuHg==" saltValue="nlh5JK8j22dBSmNK1IvMo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AVILA  Resumenes por Partidos Judiciales  ARENAS DE SAN PEDRO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0</v>
      </c>
      <c r="AD10" s="337"/>
      <c r="AE10" s="487"/>
      <c r="AF10" s="335">
        <f>IF(ISNUMBER(Datos!L10),Datos!L10,"-")</f>
        <v>12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22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61</v>
      </c>
      <c r="O12" s="337"/>
      <c r="P12" s="337"/>
      <c r="Q12" s="229">
        <f>IF(ISNUMBER(Datos!P12),Datos!P12,0)</f>
        <v>315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25</v>
      </c>
      <c r="AI12" s="337" t="str">
        <f>IF(ISNUMBER(Datos!CD12),Datos!CD12,"-")</f>
        <v>-</v>
      </c>
      <c r="AJ12" s="337" t="str">
        <f>IF(ISNUMBER(Datos!EN12),Datos!EN12," - ")</f>
        <v xml:space="preserve"> - </v>
      </c>
      <c r="AK12" s="337"/>
      <c r="AL12" s="482"/>
      <c r="AM12" s="338">
        <f>IF(ISNUMBER(Datos!R12),Datos!R12," - ")</f>
        <v>1261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289</v>
      </c>
      <c r="BD12" s="232">
        <f>IF(ISNUMBER(Datos!N12),Datos!N12," - ")</f>
        <v>255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0.76995645863570394</v>
      </c>
      <c r="BH12" s="263">
        <f>IF(ISNUMBER(((IF(J_V="SI",Datos!L12/Datos!K12,(Datos!L12+Datos!AB12)/(Datos!K12+Datos!AA12)))*11)/factor_trimestre),((IF(J_V="SI",Datos!L12/Datos!K12,(Datos!L12+Datos!AB12)/(Datos!K12+Datos!AA12)))*11)/factor_trimestre," - ")</f>
        <v>8.2111215834118756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0.14532243415077203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61</v>
      </c>
      <c r="O13" s="903">
        <f t="shared" si="0"/>
        <v>0</v>
      </c>
      <c r="P13" s="903">
        <f t="shared" si="0"/>
        <v>0</v>
      </c>
      <c r="Q13" s="902">
        <f t="shared" si="0"/>
        <v>315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155</v>
      </c>
      <c r="AD13" s="902">
        <f t="shared" si="1"/>
        <v>0</v>
      </c>
      <c r="AE13" s="902">
        <f t="shared" si="1"/>
        <v>0</v>
      </c>
      <c r="AF13" s="902">
        <f t="shared" si="1"/>
        <v>12</v>
      </c>
      <c r="AG13" s="902">
        <f t="shared" si="1"/>
        <v>0</v>
      </c>
      <c r="AH13" s="902">
        <f t="shared" si="1"/>
        <v>25</v>
      </c>
      <c r="AI13" s="902">
        <f t="shared" si="1"/>
        <v>0</v>
      </c>
      <c r="AJ13" s="902">
        <f t="shared" si="1"/>
        <v>0</v>
      </c>
      <c r="AK13" s="902">
        <f t="shared" si="1"/>
        <v>0</v>
      </c>
      <c r="AL13" s="902">
        <f t="shared" si="1"/>
        <v>0</v>
      </c>
      <c r="AM13" s="902">
        <f t="shared" si="1"/>
        <v>1261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293</v>
      </c>
      <c r="BD13" s="902">
        <f t="shared" si="1"/>
        <v>255</v>
      </c>
      <c r="BE13" s="902">
        <f t="shared" si="1"/>
        <v>0</v>
      </c>
      <c r="BF13" s="902">
        <f t="shared" si="1"/>
        <v>0</v>
      </c>
      <c r="BG13" s="902">
        <f>IF(ISNUMBER(Datos!K13/Datos!J13),Datos!K13/Datos!J13," - ")</f>
        <v>0.75996990218209182</v>
      </c>
      <c r="BH13" s="906">
        <f>IF(ISNUMBER(((Datos!L13/Datos!K13)*11)/factor_trimestre),((Datos!L13/Datos!K13)*11)/factor_trimestre," - ")</f>
        <v>8.4841584158415841</v>
      </c>
      <c r="BI13" s="902">
        <f>IF(ISNUMBER('Resol  Asuntos'!D13/NºAsuntos!G13),'Resol  Asuntos'!D13/NºAsuntos!G13," - ")</f>
        <v>0.274601686972821</v>
      </c>
      <c r="BJ13" s="902" t="str">
        <f>IF(ISNUMBER(Datos!CI13/Datos!CJ13),Datos!CI13/Datos!CJ13," - ")</f>
        <v xml:space="preserve"> - </v>
      </c>
      <c r="BK13" s="902">
        <f>SUBTOTAL(9,BK8:BK12)</f>
        <v>0</v>
      </c>
      <c r="BL13" s="902">
        <f>IF(ISNUMBER((I13-AB13+L13)/(F13)),(I13-AB13+L13)/(F13)," - ")</f>
        <v>-1</v>
      </c>
      <c r="BM13" s="907">
        <f>SUBTOTAL(9,BM9:BM12)</f>
        <v>0.14532243415077203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510</v>
      </c>
      <c r="G16" s="601">
        <f>IF(ISNUMBER(IF(D_I="SI",Datos!I16,Datos!I16+Datos!AC16)),IF(D_I="SI",Datos!I16,Datos!I16+Datos!AC16)," - ")</f>
        <v>501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909</v>
      </c>
      <c r="AC16" s="229">
        <f>IF(ISNUMBER(Datos!Q16),Datos!Q16," - ")</f>
        <v>4</v>
      </c>
      <c r="AD16" s="337"/>
      <c r="AE16" s="487"/>
      <c r="AF16" s="599">
        <f>IF(ISNUMBER(IF(D_I="SI",Datos!L16,Datos!L16+Datos!AF16)),IF(D_I="SI",Datos!L16,Datos!L16+Datos!AF16)," - ")</f>
        <v>826</v>
      </c>
      <c r="AG16" s="337"/>
      <c r="AH16" s="337"/>
      <c r="AI16" s="337"/>
      <c r="AJ16" s="337"/>
      <c r="AK16" s="337"/>
      <c r="AL16" s="482"/>
      <c r="AM16" s="338">
        <f>IF(ISNUMBER(Datos!R16),Datos!R16," - ")</f>
        <v>50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153</v>
      </c>
      <c r="BD16" s="232">
        <f>IF(ISNUMBER(Datos!N16),Datos!N16," - ")</f>
        <v>530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0.74204081632653063</v>
      </c>
      <c r="BH16" s="263">
        <f>IF(ISNUMBER(((IF(D_I="SI",Datos!L16/Datos!K16,(Datos!L16+Datos!AF16)/(Datos!K16+Datos!AE16)))*11)/factor_trimestre),((IF(D_I="SI",Datos!L16/Datos!K16,(Datos!L16+Datos!AF16)/(Datos!K16+Datos!AE16)))*11)/factor_trimestre," - ")</f>
        <v>9.9955995599559948</v>
      </c>
      <c r="BI16" s="246">
        <f>IF(ISNUMBER('Resol  Asuntos'!D16/NºAsuntos!G16),'Resol  Asuntos'!D16/NºAsuntos!G16," - ")</f>
        <v>0.16831683168316833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133</v>
      </c>
      <c r="AC17" s="229">
        <f>IF(ISNUMBER(Datos!Q17),Datos!Q17," - ")</f>
        <v>0</v>
      </c>
      <c r="AD17" s="337"/>
      <c r="AE17" s="487"/>
      <c r="AF17" s="335">
        <f>IF(ISNUMBER(Datos!L17),Datos!L17,"-")</f>
        <v>139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v>
      </c>
      <c r="BD17" s="232">
        <f>IF(ISNUMBER(Datos!N17),Datos!N17," - ")</f>
        <v>60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0.70370370370370372</v>
      </c>
      <c r="BH17" s="263">
        <f>IF(ISNUMBER(((IF(D_I="SI",Datos!L17/Datos!K17,(Datos!L17+Datos!AF17)/(Datos!K17+Datos!AE17)))*11)/factor_trimestre),((IF(D_I="SI",Datos!L17/Datos!K17,(Datos!L17+Datos!AF17)/(Datos!K17+Datos!AE17)))*11)/factor_trimestre," - ")</f>
        <v>11.496240601503761</v>
      </c>
      <c r="BI17" s="246">
        <f>IF(ISNUMBER('Resol  Asuntos'!D17/NºAsuntos!G17),'Resol  Asuntos'!D17/NºAsuntos!G17," - ")</f>
        <v>0.10526315789473684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510</v>
      </c>
      <c r="G18" s="901">
        <f>SUBTOTAL(9,G15:G17)</f>
        <v>558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1042</v>
      </c>
      <c r="AC18" s="902">
        <f t="shared" si="4"/>
        <v>4</v>
      </c>
      <c r="AD18" s="902">
        <f t="shared" si="4"/>
        <v>0</v>
      </c>
      <c r="AE18" s="902">
        <f t="shared" si="4"/>
        <v>0</v>
      </c>
      <c r="AF18" s="902">
        <f t="shared" si="4"/>
        <v>965</v>
      </c>
      <c r="AG18" s="902">
        <f t="shared" si="4"/>
        <v>0</v>
      </c>
      <c r="AH18" s="902">
        <f t="shared" si="4"/>
        <v>0</v>
      </c>
      <c r="AI18" s="902">
        <f t="shared" si="4"/>
        <v>0</v>
      </c>
      <c r="AJ18" s="902">
        <f t="shared" si="4"/>
        <v>0</v>
      </c>
      <c r="AK18" s="902">
        <f t="shared" si="4"/>
        <v>0</v>
      </c>
      <c r="AL18" s="902">
        <f t="shared" si="4"/>
        <v>0</v>
      </c>
      <c r="AM18" s="902">
        <f t="shared" si="4"/>
        <v>50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167</v>
      </c>
      <c r="BD18" s="902">
        <f t="shared" si="4"/>
        <v>590</v>
      </c>
      <c r="BE18" s="902">
        <f t="shared" si="4"/>
        <v>0</v>
      </c>
      <c r="BF18" s="902">
        <f t="shared" si="4"/>
        <v>0</v>
      </c>
      <c r="BG18" s="902">
        <f>IF(ISNUMBER(Datos!K18/Datos!J18),Datos!K18/Datos!J18," - ")</f>
        <v>0.73691654879773694</v>
      </c>
      <c r="BH18" s="906">
        <f>IF(ISNUMBER(((Datos!L18/Datos!K18)*11)/factor_trimestre),((Datos!L18/Datos!K18)*11)/factor_trimestre," - ")</f>
        <v>10.187140115163148</v>
      </c>
      <c r="BI18" s="902">
        <f>SUBTOTAL(9,BI15:BI17)</f>
        <v>0.27357998957790519</v>
      </c>
      <c r="BJ18" s="902">
        <f>SUBTOTAL(9,BJ15:BJ17)</f>
        <v>0</v>
      </c>
      <c r="BK18" s="902">
        <f>SUBTOTAL(9,BK15:BK17)</f>
        <v>0</v>
      </c>
      <c r="BL18" s="902">
        <f>IF(ISNUMBER((I18-AB18+L18)/(F18)),(I18-AB18+L18)/(F18)," - ")</f>
        <v>-2.0431372549019606</v>
      </c>
      <c r="BM18" s="908">
        <f>IF(ISNUMBER((Datos!P18-Datos!Q18)/(Datos!R18-Datos!P18+Datos!Q18)),(Datos!P18-Datos!Q18)/(Datos!R18-Datos!P18+Datos!Q18)," - ")</f>
        <v>0.13636363636363635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516</v>
      </c>
      <c r="G19" s="823">
        <f t="shared" si="6"/>
        <v>564</v>
      </c>
      <c r="H19" s="825">
        <f t="shared" si="6"/>
        <v>0</v>
      </c>
      <c r="I19" s="823">
        <f t="shared" si="6"/>
        <v>0</v>
      </c>
      <c r="J19" s="825">
        <f t="shared" si="6"/>
        <v>0</v>
      </c>
      <c r="K19" s="825">
        <f t="shared" si="6"/>
        <v>0</v>
      </c>
      <c r="L19" s="884">
        <f t="shared" si="6"/>
        <v>0</v>
      </c>
      <c r="M19" s="884">
        <f t="shared" si="6"/>
        <v>0</v>
      </c>
      <c r="N19" s="884">
        <f t="shared" si="6"/>
        <v>61</v>
      </c>
      <c r="O19" s="884">
        <f t="shared" si="6"/>
        <v>0</v>
      </c>
      <c r="P19" s="884">
        <f t="shared" si="6"/>
        <v>0</v>
      </c>
      <c r="Q19" s="825">
        <f t="shared" si="6"/>
        <v>325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1048</v>
      </c>
      <c r="AC19" s="824">
        <f t="shared" si="7"/>
        <v>159</v>
      </c>
      <c r="AD19" s="824">
        <f t="shared" si="7"/>
        <v>0</v>
      </c>
      <c r="AE19" s="824">
        <f t="shared" si="7"/>
        <v>0</v>
      </c>
      <c r="AF19" s="831">
        <f t="shared" si="7"/>
        <v>977</v>
      </c>
      <c r="AG19" s="831">
        <f t="shared" si="7"/>
        <v>0</v>
      </c>
      <c r="AH19" s="831">
        <f t="shared" si="7"/>
        <v>25</v>
      </c>
      <c r="AI19" s="831">
        <f t="shared" si="7"/>
        <v>0</v>
      </c>
      <c r="AJ19" s="824">
        <f t="shared" si="7"/>
        <v>0</v>
      </c>
      <c r="AK19" s="831">
        <f t="shared" si="7"/>
        <v>0</v>
      </c>
      <c r="AL19" s="831">
        <f t="shared" si="7"/>
        <v>0</v>
      </c>
      <c r="AM19" s="831">
        <f t="shared" si="7"/>
        <v>1311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460</v>
      </c>
      <c r="BD19" s="823">
        <f t="shared" si="7"/>
        <v>845</v>
      </c>
      <c r="BE19" s="823">
        <f t="shared" si="7"/>
        <v>0</v>
      </c>
      <c r="BF19" s="833">
        <f t="shared" si="7"/>
        <v>0</v>
      </c>
      <c r="BG19" s="918">
        <f>IF(ISNUMBER(Datos!K19/Datos!J19),Datos!K19/Datos!J19," - ")</f>
        <v>0.74808603718556321</v>
      </c>
      <c r="BH19" s="918">
        <f>IF(ISNUMBER(((Datos!L19/Datos!K19)*11)/factor_trimestre),((Datos!L19/Datos!K19)*11)/factor_trimestre," - ")</f>
        <v>9.348927875243664</v>
      </c>
      <c r="BI19" s="816">
        <f>IF(ISNUMBER(Datos!J19/Datos!I19),Datos!J19/Datos!I19," - ")</f>
        <v>2.6944990176817289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-2.0310077519379846</v>
      </c>
      <c r="BM19" s="892">
        <f>IF(ISNUMBER((Datos!P19-Datos!Q19+R19)/(Datos!R19-Datos!P19+Datos!Q19-R19)),(Datos!P19-Datos!Q19+R19)/(Datos!R19-Datos!P19+Datos!Q19-R19)," - ")</f>
        <v>0.14497816593886462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225.6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290.98453567157139</v>
      </c>
      <c r="G21" s="555">
        <f>IF(ISNUMBER(STDEV(G8:G18)),STDEV(G8:G18),"-")</f>
        <v>278.93063653890727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512.63115394989404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126.34344726445717</v>
      </c>
      <c r="BD21" s="554"/>
      <c r="BE21" s="554">
        <f>IF(ISNUMBER(STDEV(BE8:BE18)),STDEV(BE8:BE18),"-")</f>
        <v>0</v>
      </c>
      <c r="BF21" s="559">
        <f>IF(ISNUMBER(STDEV(BF8:BF18)),STDEV(BF8:BF18),"-")</f>
        <v>0</v>
      </c>
      <c r="BG21" s="778">
        <f>IF(ISNUMBER(STDEV(BG8:BG18)),STDEV(BG8:BG18),"-")</f>
        <v>0.10159514484008826</v>
      </c>
      <c r="BH21" s="779">
        <f>IF(ISNUMBER(STDEV(BH8:BH18)),STDEV(BH8:BH18),"-")</f>
        <v>5.1736658642879538</v>
      </c>
      <c r="BI21" s="252">
        <f>IF(ISNUMBER(STDEV(BI8:BI18)),STDEV(BI8:BI18),"-")</f>
        <v>8.3346518511517476E-2</v>
      </c>
      <c r="BJ21" s="233" t="str">
        <f>IF(ISNUMBER(BL21/BM21),BL21/BM21," - ")</f>
        <v xml:space="preserve"> - </v>
      </c>
      <c r="BK21" s="578"/>
      <c r="BL21" s="562">
        <f>IF(ISNUMBER(STDEV(BL8:BL18)),STDEV(BL8:BL18),"-")</f>
        <v>0.73760942664949614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yXwt6F/PDWwQiSWCZe5cHy0e/ZQko64XB12W0Mm+YVn5H1ZAn3BAet5T2RIA82rz8WOQnpXO8K+QeBQfNMU5g==" saltValue="cxbFG76Z2lAcY/t+tCjT3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AVILA  Resumenes por Partidos Judiciales  ARENAS DE SAN PEDRO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0</v>
      </c>
      <c r="AA10" s="335">
        <f>IF(ISNUMBER(Datos!L10),Datos!L10,"-")</f>
        <v>12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315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155</v>
      </c>
      <c r="AA12" s="335" t="str">
        <f>IF(ISNUMBER(IF(J_V="SI",Datos!L12,Datos!L12+Datos!AB12)-IF(Monitorios="SI",Datos!CD12,0)),
                          IF(J_V="SI",Datos!L12,Datos!L12+Datos!AB12)-IF(Monitorios="SI",Datos!CD12,0),
                          " - ")</f>
        <v xml:space="preserve"> - </v>
      </c>
      <c r="AB12" s="337"/>
      <c r="AC12" s="337"/>
      <c r="AD12" s="487"/>
      <c r="AE12" s="487">
        <f>IF(ISNUMBER(Datos!R12),Datos!R12," - ")</f>
        <v>1261</v>
      </c>
      <c r="AF12" s="232" t="str">
        <f>IF(ISNUMBER(Datos!BV12),Datos!BV12," - ")</f>
        <v xml:space="preserve"> - </v>
      </c>
      <c r="AG12" s="228" t="str">
        <f>IF(ISNUMBER(Datos!DV12),Datos!DV12," - ")</f>
        <v xml:space="preserve"> - </v>
      </c>
      <c r="AH12" s="301"/>
      <c r="AI12" s="230"/>
      <c r="AJ12" s="228">
        <f>IF(ISNUMBER(Datos!M12),Datos!M12," - ")</f>
        <v>289</v>
      </c>
      <c r="AK12" s="232">
        <f>IF(ISNUMBER(Datos!N12),Datos!N12," - ")</f>
        <v>255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8.2111215834118756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0.14532243415077203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315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155</v>
      </c>
      <c r="AA13" s="903">
        <f t="shared" si="2"/>
        <v>12</v>
      </c>
      <c r="AB13" s="903">
        <f t="shared" si="2"/>
        <v>0</v>
      </c>
      <c r="AC13" s="903">
        <f t="shared" si="2"/>
        <v>0</v>
      </c>
      <c r="AD13" s="903">
        <f t="shared" si="2"/>
        <v>0</v>
      </c>
      <c r="AE13" s="903">
        <f t="shared" si="2"/>
        <v>1261</v>
      </c>
      <c r="AF13" s="911">
        <f t="shared" si="2"/>
        <v>0</v>
      </c>
      <c r="AG13" s="911">
        <f t="shared" si="2"/>
        <v>0</v>
      </c>
      <c r="AH13" s="911">
        <f t="shared" si="2"/>
        <v>0</v>
      </c>
      <c r="AI13" s="911">
        <f t="shared" si="2"/>
        <v>0</v>
      </c>
      <c r="AJ13" s="911">
        <f t="shared" si="2"/>
        <v>293</v>
      </c>
      <c r="AK13" s="911">
        <f t="shared" si="2"/>
        <v>255</v>
      </c>
      <c r="AL13" s="911">
        <f t="shared" si="2"/>
        <v>0</v>
      </c>
      <c r="AM13" s="911">
        <f t="shared" si="2"/>
        <v>0</v>
      </c>
      <c r="AN13" s="911">
        <f t="shared" si="2"/>
        <v>0</v>
      </c>
      <c r="AO13" s="907">
        <f>IF(ISNUMBER(((NºAsuntos!I13/NºAsuntos!G13)*11)/factor_trimestre),((NºAsuntos!I13/NºAsuntos!G13)*11)/factor_trimestre," - ")</f>
        <v>8.288659793814432</v>
      </c>
      <c r="AP13" s="913" t="str">
        <f>IF(ISNUMBER(Datos!CI13/Datos!CJ13),Datos!CI13/Datos!CJ13," - ")</f>
        <v xml:space="preserve"> - </v>
      </c>
      <c r="AQ13" s="931">
        <f t="shared" ref="AQ13:AV13" si="3">SUBTOTAL(9,AQ9:AQ12)</f>
        <v>0</v>
      </c>
      <c r="AR13" s="931">
        <f t="shared" si="3"/>
        <v>0.14532243415077203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510</v>
      </c>
      <c r="G16" s="228">
        <f>IF(ISNUMBER(IF(D_I="SI",Datos!I16,Datos!I16+Datos!AC16)),IF(D_I="SI",Datos!I16,Datos!I16+Datos!AC16)," - ")</f>
        <v>501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909</v>
      </c>
      <c r="Z16" s="622">
        <f>IF(ISNUMBER(Datos!Q16),Datos!Q16," - ")</f>
        <v>4</v>
      </c>
      <c r="AA16" s="335">
        <f>IF(ISNUMBER(IF(D_I="SI",Datos!L16,Datos!L16+Datos!AF16)),IF(D_I="SI",Datos!L16,Datos!L16+Datos!AF16)," - ")</f>
        <v>826</v>
      </c>
      <c r="AB16" s="337"/>
      <c r="AC16" s="337"/>
      <c r="AD16" s="487"/>
      <c r="AE16" s="487">
        <f>IF(ISNUMBER(Datos!R16),Datos!R16," - ")</f>
        <v>50</v>
      </c>
      <c r="AF16" s="232" t="str">
        <f>IF(ISNUMBER(Datos!BV16),Datos!BV16," - ")</f>
        <v xml:space="preserve"> - </v>
      </c>
      <c r="AG16" s="228"/>
      <c r="AH16" s="301"/>
      <c r="AI16" s="230"/>
      <c r="AJ16" s="228">
        <f>IF(ISNUMBER(Datos!M16),Datos!M16," - ")</f>
        <v>153</v>
      </c>
      <c r="AK16" s="232">
        <f>IF(ISNUMBER(Datos!N16),Datos!N16," - ")</f>
        <v>530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9.9955995599559948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133</v>
      </c>
      <c r="Z17" s="622">
        <f>IF(ISNUMBER(Datos!Q17),Datos!Q17," - ")</f>
        <v>0</v>
      </c>
      <c r="AA17" s="335">
        <f>IF(ISNUMBER(Datos!L17),Datos!L17,"-")</f>
        <v>139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14</v>
      </c>
      <c r="AK17" s="232">
        <f>IF(ISNUMBER(Datos!N17),Datos!N17," - ")</f>
        <v>60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11.496240601503761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510</v>
      </c>
      <c r="G18" s="901">
        <f>SUBTOTAL(9,G15:G17)</f>
        <v>558</v>
      </c>
      <c r="H18" s="935">
        <f>SUBTOTAL(9,H15:H17)</f>
        <v>0</v>
      </c>
      <c r="I18" s="914">
        <f>SUBTOTAL(9,I15:I17)</f>
        <v>0</v>
      </c>
      <c r="J18" s="870">
        <f>SUBTOTAL(9,J14:J17)</f>
        <v>0</v>
      </c>
      <c r="K18" s="935">
        <f t="shared" ref="K18:S18" si="4">SUBTOTAL(9,K15:K17)</f>
        <v>0</v>
      </c>
      <c r="L18" s="935">
        <f t="shared" si="4"/>
        <v>0</v>
      </c>
      <c r="M18" s="935">
        <f t="shared" si="4"/>
        <v>0</v>
      </c>
      <c r="N18" s="935">
        <f t="shared" si="4"/>
        <v>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1042</v>
      </c>
      <c r="Z18" s="935">
        <f t="shared" si="5"/>
        <v>4</v>
      </c>
      <c r="AA18" s="935">
        <f t="shared" si="5"/>
        <v>965</v>
      </c>
      <c r="AB18" s="935">
        <f t="shared" si="5"/>
        <v>0</v>
      </c>
      <c r="AC18" s="935">
        <f t="shared" si="5"/>
        <v>0</v>
      </c>
      <c r="AD18" s="935">
        <f t="shared" si="5"/>
        <v>0</v>
      </c>
      <c r="AE18" s="935">
        <f t="shared" si="5"/>
        <v>50</v>
      </c>
      <c r="AF18" s="935">
        <f t="shared" si="5"/>
        <v>0</v>
      </c>
      <c r="AG18" s="935">
        <f t="shared" si="5"/>
        <v>0</v>
      </c>
      <c r="AH18" s="935">
        <f t="shared" si="5"/>
        <v>0</v>
      </c>
      <c r="AI18" s="935">
        <f t="shared" si="5"/>
        <v>0</v>
      </c>
      <c r="AJ18" s="935">
        <f t="shared" si="5"/>
        <v>167</v>
      </c>
      <c r="AK18" s="935">
        <f t="shared" si="5"/>
        <v>590</v>
      </c>
      <c r="AL18" s="935">
        <f t="shared" si="5"/>
        <v>0</v>
      </c>
      <c r="AM18" s="935">
        <f t="shared" si="5"/>
        <v>0</v>
      </c>
      <c r="AN18" s="935">
        <f t="shared" si="5"/>
        <v>0</v>
      </c>
      <c r="AO18" s="937">
        <f>IF(ISNUMBER(((NºAsuntos!I18/NºAsuntos!G18)*11)/factor_trimestre),((NºAsuntos!I18/NºAsuntos!G18)*11)/factor_trimestre," - ")</f>
        <v>10.187140115163148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516</v>
      </c>
      <c r="G19" s="823">
        <f t="shared" si="7"/>
        <v>564</v>
      </c>
      <c r="H19" s="824">
        <f t="shared" si="7"/>
        <v>0</v>
      </c>
      <c r="I19" s="823">
        <f t="shared" si="7"/>
        <v>0</v>
      </c>
      <c r="J19" s="825">
        <f t="shared" si="7"/>
        <v>0</v>
      </c>
      <c r="K19" s="823">
        <f t="shared" si="7"/>
        <v>0</v>
      </c>
      <c r="L19" s="826">
        <f t="shared" si="7"/>
        <v>0</v>
      </c>
      <c r="M19" s="823">
        <f t="shared" si="7"/>
        <v>0</v>
      </c>
      <c r="N19" s="824">
        <f t="shared" si="7"/>
        <v>325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1048</v>
      </c>
      <c r="Z19" s="830">
        <f t="shared" si="8"/>
        <v>159</v>
      </c>
      <c r="AA19" s="831">
        <f t="shared" si="8"/>
        <v>977</v>
      </c>
      <c r="AB19" s="831">
        <f t="shared" si="8"/>
        <v>0</v>
      </c>
      <c r="AC19" s="831">
        <f t="shared" si="8"/>
        <v>0</v>
      </c>
      <c r="AD19" s="832">
        <f t="shared" si="8"/>
        <v>0</v>
      </c>
      <c r="AE19" s="832">
        <f t="shared" si="8"/>
        <v>1311</v>
      </c>
      <c r="AF19" s="833">
        <f t="shared" si="8"/>
        <v>0</v>
      </c>
      <c r="AG19" s="834">
        <f t="shared" si="8"/>
        <v>0</v>
      </c>
      <c r="AH19" s="835">
        <f t="shared" si="8"/>
        <v>0</v>
      </c>
      <c r="AI19" s="833">
        <f t="shared" si="8"/>
        <v>0</v>
      </c>
      <c r="AJ19" s="823">
        <f t="shared" si="8"/>
        <v>460</v>
      </c>
      <c r="AK19" s="823">
        <f t="shared" si="8"/>
        <v>845</v>
      </c>
      <c r="AL19" s="823">
        <f t="shared" si="8"/>
        <v>0</v>
      </c>
      <c r="AM19" s="836">
        <f t="shared" si="8"/>
        <v>0</v>
      </c>
      <c r="AN19" s="826">
        <f>IF(ISNUMBER(Datos!K19/Datos!J19),Datos!K19/Datos!J19," - ")</f>
        <v>0.74808603718556321</v>
      </c>
      <c r="AO19" s="826">
        <f>IF(ISNUMBER(FIND("06",Criterios!A8,1)),(IF(ISNUMBER(((Datos!R19/Datos!Q19)*11)/factor_trimestre),((Datos!R19/Datos!Q19)*11)/factor_trimestre," - ")),(IF(ISNUMBER(((Datos!L19/Datos!K19)*11)/factor_trimestre),((Datos!L19/Datos!K19)*11)/factor_trimestre," - ")))</f>
        <v>9.348927875243664</v>
      </c>
      <c r="AP19" s="837" t="str">
        <f>IF(ISNUMBER(Datos!CI19/Datos!CJ19),Datos!CI19/Datos!CJ19," - ")</f>
        <v xml:space="preserve"> - </v>
      </c>
      <c r="AQ19" s="837">
        <f>IF(OR(ISNUMBER(FIND("01",Criterios!A8,1)),ISNUMBER(FIND("02",Criterios!A8,1)),ISNUMBER(FIND("03",Criterios!A8,1)),ISNUMBER(FIND("04",Criterios!A8,1))),(J19-Y19+K19)/(F19-K19),(I19-Y19+K19)/(F19-K19))</f>
        <v>-2.0310077519379846</v>
      </c>
      <c r="AR19" s="837">
        <f>IF(ISNUMBER((Datos!P19-Datos!Q19+O19)/(Datos!R19-Datos!P19+Datos!Q19-O19)),(Datos!P19-Datos!Q19+O19)/(Datos!R19-Datos!P19+Datos!Q19-O19)," - ")</f>
        <v>0.14497816593886462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225.6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290.98453567157139</v>
      </c>
      <c r="G21" s="555">
        <f>IF(ISNUMBER(STDEV(G8:G18)),STDEV(G8:G18),"-")</f>
        <v>278.93063653890727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126.34344726445717</v>
      </c>
      <c r="AK21" s="255"/>
      <c r="AL21" s="255">
        <f>IF(ISNUMBER(STDEV(AL8:AL18)),STDEV(AL8:AL18),"-")</f>
        <v>0</v>
      </c>
      <c r="AM21" s="257">
        <f>IF(ISNUMBER(STDEV(AM8:AM18)),STDEV(AM8:AM18),"-")</f>
        <v>0</v>
      </c>
      <c r="AN21" s="542">
        <f>IF(ISNUMBER(STDEV(AN8:AN18)),STDEV(AN8:AN18),"-")</f>
        <v>0</v>
      </c>
      <c r="AO21" s="543">
        <f>IF(ISNUMBER(STDEV(AO8:AO18)),STDEV(AO8:AO18),"-")</f>
        <v>5.1987437562131849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AC/Tb+8Hka5xFGi+Wlq7+ut6OJZJUo3VrmHAWMKDRg//BK9hyQf8AqioML/Jbsdh8Cy2aBlzRiQu9ipC+jhng==" saltValue="XM+HJrcy0YrDF2rb5RR4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eawIgNf4dK6mVxhgnzK7PByulb+WxnCQ6MCPj3eMjBrls4ymriVp3it+uCX9vCs5JXSn1OcCH8jQkBQ3hW3U9Q==" saltValue="1kW52bhjIxRzZTakEBOK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9G4dESqnepkPaZ+kPTLgpZK7cxXFA3x1sj4Pj8NqqHPIMqVDLgxnMPy2p9wvZL1wzKONeCQceoOZ1tGCpz5cA==" saltValue="QI7DDlEOCoKRgmHtJw6FK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AVILA  Resumenes por Partidos Judiciales  ARENAS DE SAN PEDRO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0.274601686972821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0.19417271498374736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uvQBYKqJ9qWV3XhCCetKRtFFXwW9XLy/5NkpXCFWmPU8eBJMgS0zpnV6QSUbn/mRYbBq0RXj777VxdG5A+/r5g==" saltValue="I2+vgmaIODAAOBm3+67Y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h26ORUSbExrKWKtkEesfF7WFb00R0UmSec4xNnAOm8rQWxR+qKty/mDWnQsoGnXIicYbkNIrkM/hHaas1A8QAA==" saltValue="0qCYGab5yM223NxNkqaS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AVILA</v>
      </c>
      <c r="D3" s="378"/>
      <c r="E3" s="378"/>
      <c r="F3" s="378"/>
    </row>
    <row r="4" spans="1:14" ht="13.5" thickBot="1">
      <c r="A4" s="378"/>
      <c r="B4" s="394" t="str">
        <f>Criterios!A11 &amp;"  "&amp;Criterios!B11</f>
        <v>Resumenes por Partidos Judiciales  ARENAS DE SAN PEDRO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12</v>
      </c>
      <c r="F10" s="407">
        <f>IF(ISNUMBER(E10/B10),E10/B10," - ")</f>
        <v>12</v>
      </c>
      <c r="G10" s="406">
        <f>IF(ISNUMBER(Datos!K10),Datos!K10," - ")</f>
        <v>6</v>
      </c>
      <c r="H10" s="407">
        <f>IF(ISNUMBER(G10/B10),G10/B10," - ")</f>
        <v>6</v>
      </c>
      <c r="I10" s="406">
        <f>IF(ISNUMBER(Datos!L10),Datos!L10," - ")</f>
        <v>12</v>
      </c>
      <c r="J10" s="407">
        <f>IF(ISNUMBER(I10/B10),I10/B10," - ")</f>
        <v>12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475</v>
      </c>
      <c r="D12" s="407">
        <f>IF(ISNUMBER(C12/Datos!BH12),C12/Datos!BH12," - ")</f>
        <v>237.5</v>
      </c>
      <c r="E12" s="406">
        <f>IF(ISNUMBER(IF(J_V="SI",Datos!J12,Datos!J12+Datos!Z12)),IF(J_V="SI",Datos!J12,Datos!J12+Datos!Z12)," - ")</f>
        <v>1378</v>
      </c>
      <c r="F12" s="407">
        <f>IF(ISNUMBER(E12/B12),E12/B12," - ")</f>
        <v>689</v>
      </c>
      <c r="G12" s="406">
        <f>IF(ISNUMBER(IF(J_V="SI",Datos!K12,Datos!K12+Datos!AA12)),IF(J_V="SI",Datos!K12,Datos!K12+Datos!AA12)," - ")</f>
        <v>1061</v>
      </c>
      <c r="H12" s="407">
        <f>IF(ISNUMBER(G12/B12),G12/B12," - ")</f>
        <v>530.5</v>
      </c>
      <c r="I12" s="406">
        <f>IF(ISNUMBER(IF(J_V="SI",Datos!L12,Datos!L12+Datos!AB12)),IF(J_V="SI",Datos!L12,Datos!L12+Datos!AB12)," - ")</f>
        <v>792</v>
      </c>
      <c r="J12" s="407">
        <f>IF(ISNUMBER(I12/B12),I12/B12," - ")</f>
        <v>396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481</v>
      </c>
      <c r="D13" s="853" t="str">
        <f>IF(ISNUMBER(C13/Datos!BI13),C13/Datos!BI13," - ")</f>
        <v xml:space="preserve"> - </v>
      </c>
      <c r="E13" s="852">
        <f>SUBTOTAL(9,E8:E12)</f>
        <v>1390</v>
      </c>
      <c r="F13" s="853">
        <f>IF(ISNUMBER(E13/B13),E13/B13," - ")</f>
        <v>695</v>
      </c>
      <c r="G13" s="852">
        <f>SUBTOTAL(9,G8:G12)</f>
        <v>1067</v>
      </c>
      <c r="H13" s="853">
        <f>IF(ISNUMBER(G13/B13),G13/B13," - ")</f>
        <v>533.5</v>
      </c>
      <c r="I13" s="852">
        <f>SUBTOTAL(9,I8:I12)</f>
        <v>804</v>
      </c>
      <c r="J13" s="853">
        <f>IF(ISNUMBER(I13/B13),I13/B13," - ")</f>
        <v>402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501</v>
      </c>
      <c r="D16" s="407">
        <f>IF(ISNUMBER(C16/Datos!BH16),C16/Datos!BH16," - ")</f>
        <v>250.5</v>
      </c>
      <c r="E16" s="406">
        <f>IF(ISNUMBER(IF(D_I="SI",Datos!J16,Datos!J16+Datos!AD16)),IF(D_I="SI",Datos!J16,Datos!J16+Datos!AD16)," - ")</f>
        <v>1225</v>
      </c>
      <c r="F16" s="407">
        <f>IF(ISNUMBER(E16/B16),E16/B16," - ")</f>
        <v>612.5</v>
      </c>
      <c r="G16" s="406">
        <f>IF(ISNUMBER(IF(D_I="SI",Datos!K16,Datos!K16+Datos!AE16)),IF(D_I="SI",Datos!K16,Datos!K16+Datos!AE16)," - ")</f>
        <v>909</v>
      </c>
      <c r="H16" s="407">
        <f>IF(ISNUMBER(G16/B16),G16/B16," - ")</f>
        <v>454.5</v>
      </c>
      <c r="I16" s="406">
        <f>IF(ISNUMBER(IF(D_I="SI",Datos!L16,Datos!L16+Datos!AF16)),IF(D_I="SI",Datos!L16,Datos!L16+Datos!AF16)," - ")</f>
        <v>826</v>
      </c>
      <c r="J16" s="407">
        <f>IF(ISNUMBER(I16/B16),I16/B16," - ")</f>
        <v>413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57</v>
      </c>
      <c r="D17" s="407">
        <f>IF(ISNUMBER(C17/Datos!BH17),C17/Datos!BH17," - ")</f>
        <v>57</v>
      </c>
      <c r="E17" s="406">
        <f>IF(ISNUMBER(IF(D_I="SI",Datos!J17,Datos!J17+Datos!AD17)),IF(D_I="SI",Datos!J17,Datos!J17+Datos!AD17)," - ")</f>
        <v>189</v>
      </c>
      <c r="F17" s="407">
        <f>IF(ISNUMBER(E17/B17),E17/B17," - ")</f>
        <v>189</v>
      </c>
      <c r="G17" s="406">
        <f>IF(ISNUMBER(IF(D_I="SI",Datos!K17,Datos!K17+Datos!AE17)),IF(D_I="SI",Datos!K17,Datos!K17+Datos!AE17)," - ")</f>
        <v>133</v>
      </c>
      <c r="H17" s="407">
        <f>IF(ISNUMBER(G17/B17),G17/B17," - ")</f>
        <v>133</v>
      </c>
      <c r="I17" s="406">
        <f>IF(ISNUMBER(IF(D_I="SI",Datos!L17,Datos!L17+Datos!AF17)),IF(D_I="SI",Datos!L17,Datos!L17+Datos!AF17)," - ")</f>
        <v>139</v>
      </c>
      <c r="J17" s="407">
        <f>IF(ISNUMBER(I17/B17),I17/B17," - ")</f>
        <v>139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558</v>
      </c>
      <c r="D18" s="853" t="str">
        <f>IF(ISNUMBER(C18/Datos!BI18),C18/Datos!BI18," - ")</f>
        <v xml:space="preserve"> - </v>
      </c>
      <c r="E18" s="852">
        <f>SUBTOTAL(9,E14:E17)</f>
        <v>1414</v>
      </c>
      <c r="F18" s="853">
        <f>IF(ISNUMBER(E18/B18),E18/B18," - ")</f>
        <v>707</v>
      </c>
      <c r="G18" s="852">
        <f>SUBTOTAL(9,G14:G17)</f>
        <v>1042</v>
      </c>
      <c r="H18" s="853">
        <f>IF(ISNUMBER(G18/B18),G18/B18," - ")</f>
        <v>521</v>
      </c>
      <c r="I18" s="852">
        <f>SUBTOTAL(9,I14:I17)</f>
        <v>965</v>
      </c>
      <c r="J18" s="853">
        <f>IF(ISNUMBER(I18/B18),I18/B18," - ")</f>
        <v>482.5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1039</v>
      </c>
      <c r="D19" s="798" t="str">
        <f>IF(ISNUMBER(C19/Datos!BI19),C19/Datos!BI19," - ")</f>
        <v xml:space="preserve"> - </v>
      </c>
      <c r="E19" s="797">
        <f>SUBTOTAL(9,E9:E18)</f>
        <v>2804</v>
      </c>
      <c r="F19" s="798">
        <f>IF(ISNUMBER(E19/B19),E19/B19," - ")</f>
        <v>1402</v>
      </c>
      <c r="G19" s="797">
        <f>SUBTOTAL(9,G9:G18)</f>
        <v>2109</v>
      </c>
      <c r="H19" s="798">
        <f>IF(ISNUMBER(G19/B19),G19/B19," - ")</f>
        <v>1054.5</v>
      </c>
      <c r="I19" s="797">
        <f>SUBTOTAL(9,I9:I18)</f>
        <v>1769</v>
      </c>
      <c r="J19" s="798">
        <f>IF(ISNUMBER(I19/B19),I19/B19," - ")</f>
        <v>884.5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2+ievXO2U67sKqisraos21sVQ9FFsb4hurvBu0mqhRl4/RsFBqJbx+0xrc9vDf/oG3Oxs5XCCFNN2iNOVEVppA==" saltValue="NaYFqxFYKhBkYRF3liOG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AVILA  Resumenes por Partidos Judiciales  ARENAS DE SAN PEDRO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12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315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1261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289</v>
      </c>
      <c r="AM12" s="693">
        <f>IF(ISNUMBER(Datos!N12+DatosP!N16),Datos!N12+DatosP!N16," - ")</f>
        <v>255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8.2111215834118756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0.14532243415077203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315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155</v>
      </c>
      <c r="AE13" s="942">
        <f t="shared" si="1"/>
        <v>0</v>
      </c>
      <c r="AF13" s="942">
        <f t="shared" si="1"/>
        <v>12</v>
      </c>
      <c r="AG13" s="942">
        <f t="shared" si="1"/>
        <v>0</v>
      </c>
      <c r="AH13" s="942">
        <f t="shared" si="1"/>
        <v>1261</v>
      </c>
      <c r="AI13" s="942">
        <f t="shared" si="1"/>
        <v>0</v>
      </c>
      <c r="AJ13" s="942">
        <f t="shared" si="1"/>
        <v>0</v>
      </c>
      <c r="AK13" s="942">
        <f t="shared" si="1"/>
        <v>0</v>
      </c>
      <c r="AL13" s="942">
        <f t="shared" si="1"/>
        <v>293</v>
      </c>
      <c r="AM13" s="942">
        <f t="shared" si="1"/>
        <v>255</v>
      </c>
      <c r="AN13" s="942">
        <f t="shared" si="1"/>
        <v>0</v>
      </c>
      <c r="AO13" s="942">
        <f t="shared" si="1"/>
        <v>0</v>
      </c>
      <c r="AP13" s="947">
        <f>IF(ISNUMBER(((Datos!L13/Datos!K13)*11)/factor_trimestre),((Datos!L13/Datos!K13)*11)/factor_trimestre," - ")</f>
        <v>8.4841584158415841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0.14532243415077203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10.187140115163148</v>
      </c>
      <c r="AQ18" s="947">
        <f>IF(ISNUMBER(((Datos!M18/Datos!L18)*11)/factor_trimestre),((Datos!M18/Datos!L18)*11)/factor_trimestre," - ")</f>
        <v>1.9036269430051815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0.13636363636363635</v>
      </c>
      <c r="AW18" s="949">
        <f>IF(ISNUMBER((Datos!Q18-Datos!R18)/(Datos!S18-Datos!Q18+Datos!R18)),(Datos!Q18-Datos!R18)/(Datos!S18-Datos!Q18+Datos!R18)," - ")</f>
        <v>-7.9722703639514725E-2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315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155</v>
      </c>
      <c r="AE19" s="960">
        <f t="shared" si="5"/>
        <v>0</v>
      </c>
      <c r="AF19" s="961">
        <f t="shared" si="5"/>
        <v>12</v>
      </c>
      <c r="AG19" s="961">
        <f t="shared" si="5"/>
        <v>0</v>
      </c>
      <c r="AH19" s="961">
        <f t="shared" si="5"/>
        <v>1261</v>
      </c>
      <c r="AI19" s="961">
        <f t="shared" si="5"/>
        <v>0</v>
      </c>
      <c r="AJ19" s="962">
        <f t="shared" si="5"/>
        <v>0</v>
      </c>
      <c r="AK19" s="962">
        <f t="shared" si="5"/>
        <v>0</v>
      </c>
      <c r="AL19" s="954">
        <f t="shared" si="5"/>
        <v>293</v>
      </c>
      <c r="AM19" s="954">
        <f t="shared" si="5"/>
        <v>255</v>
      </c>
      <c r="AN19" s="954">
        <f t="shared" si="5"/>
        <v>0</v>
      </c>
      <c r="AO19" s="954">
        <f t="shared" si="5"/>
        <v>0</v>
      </c>
      <c r="AP19" s="954">
        <f>IF(ISNUMBER(((Datos!L19/Datos!K19)*11)/factor_trimestre),((Datos!L19/Datos!K19)*11)/factor_trimestre," - ")</f>
        <v>9.348927875243664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0.14497816593886462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166.87020904483421</v>
      </c>
      <c r="AM21" s="739"/>
      <c r="AN21" s="739">
        <f>IF(ISNUMBER(STDEV(AN8:AN18)),STDEV(AN8:AN18),"-")</f>
        <v>0</v>
      </c>
      <c r="AO21" s="745">
        <f>IF(ISNUMBER(STDEV(AO8:AO18)),STDEV(AO8:AO18),"-")</f>
        <v>0</v>
      </c>
      <c r="AP21" s="782">
        <f>IF(ISNUMBER(STDEV(AP8:AP18)),STDEV(AP8:AP18),"-")</f>
        <v>6.5779565304141334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PD/VX5v5Jok+eGWkE5dR3jnivSt0+JlunccLCb+MJmXMf5GpC0cz6qp4k+LW/hoLvuqYQ+xH4WypZpFrMpjjg==" saltValue="+iDtLdIvI3ppo4fDAcxRg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AVILA</v>
      </c>
      <c r="C3" s="418"/>
      <c r="F3" s="378"/>
      <c r="G3" s="378"/>
      <c r="H3" s="378"/>
    </row>
    <row r="4" spans="1:15" ht="13.5" thickBot="1">
      <c r="A4" s="378"/>
      <c r="B4" s="394" t="str">
        <f>Criterios!A11 &amp;"  "&amp;Criterios!B11</f>
        <v>Resumenes por Partidos Judiciales  ARENAS DE SAN PEDRO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zh9maVrKDUObK9C+YbQOISDCtz+EAfAyF8PaZsHdPS7OC4mNwgpfn3qimPOpKmMSST0rmpfjqmkv7wb2v9sqw==" saltValue="zdeFq7LDYQVXiX7UQi7W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AVILA</v>
      </c>
      <c r="C3" s="394"/>
      <c r="D3" s="428"/>
    </row>
    <row r="4" spans="1:9" ht="13.5" thickBot="1">
      <c r="B4" s="394" t="str">
        <f>Criterios!A11 &amp;"  "&amp;Criterios!B11</f>
        <v>Resumenes por Partidos Judiciales  ARENAS DE SAN PEDRO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289</v>
      </c>
      <c r="E12" s="407">
        <f t="shared" si="0"/>
        <v>144.5</v>
      </c>
      <c r="F12" s="406">
        <f>IF(ISNUMBER(Datos!N12),Datos!N12," - ")</f>
        <v>255</v>
      </c>
      <c r="G12" s="407">
        <f t="shared" si="1"/>
        <v>127.5</v>
      </c>
      <c r="H12" s="406">
        <f>IF(ISNUMBER(Datos!O12),Datos!O12," - ")</f>
        <v>146</v>
      </c>
      <c r="I12" s="407">
        <f t="shared" si="2"/>
        <v>73</v>
      </c>
    </row>
    <row r="13" spans="1:9" ht="14.25" thickTop="1" thickBot="1">
      <c r="A13" s="851" t="str">
        <f>Datos!A13</f>
        <v>TOTAL</v>
      </c>
      <c r="B13" s="852">
        <f>Datos!AO13</f>
        <v>3</v>
      </c>
      <c r="C13" s="854">
        <f>Datos!AR13</f>
        <v>2</v>
      </c>
      <c r="D13" s="852">
        <f>SUBTOTAL(9,D9:D12)</f>
        <v>293</v>
      </c>
      <c r="E13" s="853">
        <f t="shared" si="0"/>
        <v>97.666666666666671</v>
      </c>
      <c r="F13" s="852">
        <f>SUBTOTAL(9,F9:F12)</f>
        <v>255</v>
      </c>
      <c r="G13" s="853">
        <f t="shared" si="1"/>
        <v>85</v>
      </c>
      <c r="H13" s="852">
        <f>SUBTOTAL(9,H9:H12)</f>
        <v>146</v>
      </c>
      <c r="I13" s="853">
        <f>IF(ISNUMBER(H13/B13),H13/B13," - ")</f>
        <v>48.666666666666664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153</v>
      </c>
      <c r="E16" s="407">
        <f t="shared" si="3"/>
        <v>76.5</v>
      </c>
      <c r="F16" s="406">
        <f>IF(ISNUMBER(Datos!N16),Datos!N16," - ")</f>
        <v>530</v>
      </c>
      <c r="G16" s="407">
        <f t="shared" si="4"/>
        <v>265</v>
      </c>
      <c r="H16" s="406">
        <f>IF(ISNUMBER(Datos!O16),Datos!O16," - ")</f>
        <v>3</v>
      </c>
      <c r="I16" s="407">
        <f t="shared" si="5"/>
        <v>1.5</v>
      </c>
    </row>
    <row r="17" spans="1:9" ht="13.5" thickBot="1">
      <c r="A17" s="405" t="str">
        <f>Datos!A17</f>
        <v>Jdos. Violencia contra la mujer</v>
      </c>
      <c r="B17" s="430">
        <f>Datos!AO17</f>
        <v>1</v>
      </c>
      <c r="C17" s="431">
        <f>Datos!AQ17</f>
        <v>0</v>
      </c>
      <c r="D17" s="406">
        <f>IF(ISNUMBER(Datos!M17),Datos!M17," - ")</f>
        <v>14</v>
      </c>
      <c r="E17" s="407">
        <f>IF(ISNUMBER(D17/B17),D17/B17," - ")</f>
        <v>14</v>
      </c>
      <c r="F17" s="406">
        <f>IF(ISNUMBER(Datos!N17),Datos!N17," - ")</f>
        <v>60</v>
      </c>
      <c r="G17" s="407">
        <f>IF(ISNUMBER(F17/B17),F17/B17," - ")</f>
        <v>60</v>
      </c>
      <c r="H17" s="406">
        <f>IF(ISNUMBER(Datos!O17),Datos!O17," - ")</f>
        <v>0</v>
      </c>
      <c r="I17" s="407">
        <f t="shared" si="5"/>
        <v>0</v>
      </c>
    </row>
    <row r="18" spans="1:9" ht="14.25" thickTop="1" thickBot="1">
      <c r="A18" s="851" t="str">
        <f>Datos!A18</f>
        <v>TOTAL</v>
      </c>
      <c r="B18" s="852">
        <f>Datos!AO18</f>
        <v>3</v>
      </c>
      <c r="C18" s="854">
        <f>Datos!AR18</f>
        <v>2</v>
      </c>
      <c r="D18" s="852">
        <f>SUBTOTAL(9,D15:D17)</f>
        <v>167</v>
      </c>
      <c r="E18" s="853">
        <f t="shared" si="3"/>
        <v>55.666666666666664</v>
      </c>
      <c r="F18" s="852">
        <f>SUBTOTAL(9,F15:F17)</f>
        <v>590</v>
      </c>
      <c r="G18" s="853">
        <f t="shared" si="4"/>
        <v>196.66666666666666</v>
      </c>
      <c r="H18" s="852">
        <f>SUBTOTAL(9,H15:H17)</f>
        <v>3</v>
      </c>
      <c r="I18" s="853">
        <f>IF(ISNUMBER(H18/B18),H18/B18," - ")</f>
        <v>1</v>
      </c>
    </row>
    <row r="19" spans="1:9" ht="14.25" thickTop="1" thickBot="1">
      <c r="A19" s="796" t="str">
        <f>Datos!A19</f>
        <v>TOTAL JURISDICCIONES</v>
      </c>
      <c r="B19" s="797">
        <f>Datos!AP19</f>
        <v>2</v>
      </c>
      <c r="C19" s="797">
        <f>Datos!AR19</f>
        <v>2</v>
      </c>
      <c r="D19" s="797">
        <f>SUBTOTAL(9,D8:D18)</f>
        <v>460</v>
      </c>
      <c r="E19" s="798">
        <f>IF(ISNUMBER(D19/B19),D19/B19," - ")</f>
        <v>230</v>
      </c>
      <c r="F19" s="797">
        <f>SUBTOTAL(9,F8:F18)</f>
        <v>845</v>
      </c>
      <c r="G19" s="798">
        <f>IF(ISNUMBER(F19/B19),F19/B19," - ")</f>
        <v>422.5</v>
      </c>
      <c r="H19" s="797">
        <f>SUBTOTAL(9,H8:H18)</f>
        <v>149</v>
      </c>
      <c r="I19" s="798">
        <f>IF(ISNUMBER(H19/B19),H19/B19," - ")</f>
        <v>74.5</v>
      </c>
    </row>
    <row r="22" spans="1:9">
      <c r="A22" s="394" t="str">
        <f>Criterios!A4</f>
        <v>Fecha Informe: 03 may. 2024</v>
      </c>
    </row>
    <row r="27" spans="1:9">
      <c r="A27" s="417"/>
    </row>
  </sheetData>
  <sheetProtection algorithmName="SHA-512" hashValue="i2VXjpJpB2imbMltIEAkMir3ByLI+m53HWLqd8WqAt4nA8UMFXABtXWojh0rbwlnbPqSsTgOXZlpMEh+5nnvrA==" saltValue="KO6tvhRiaVDXlYSjIKAl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AVILA</v>
      </c>
    </row>
    <row r="4" spans="1:4" ht="13.5" thickBot="1">
      <c r="B4" s="394" t="str">
        <f>Criterios!A11 &amp;"  "&amp;Criterios!B11</f>
        <v>Resumenes por Partidos Judiciales  ARENAS DE SAN PEDRO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315</v>
      </c>
      <c r="C12" s="437">
        <f>IF(ISNUMBER(Datos!Q12),Datos!Q12," - ")</f>
        <v>155</v>
      </c>
      <c r="D12" s="411">
        <f>IF(ISNUMBER(Datos!R12),Datos!R12," - ")</f>
        <v>1261</v>
      </c>
    </row>
    <row r="13" spans="1:4" ht="14.25" thickTop="1" thickBot="1">
      <c r="A13" s="851" t="str">
        <f>Datos!A13</f>
        <v>TOTAL</v>
      </c>
      <c r="B13" s="852">
        <f>SUBTOTAL(9,B9:B12)</f>
        <v>315</v>
      </c>
      <c r="C13" s="856">
        <f>SUBTOTAL(9,C9:C12)</f>
        <v>155</v>
      </c>
      <c r="D13" s="854">
        <f>SUBTOTAL(9,D9:D12)</f>
        <v>1261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4</v>
      </c>
      <c r="D16" s="411">
        <f>IF(ISNUMBER(Datos!R16),Datos!R16," - ")</f>
        <v>50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10</v>
      </c>
      <c r="C18" s="856">
        <f>SUBTOTAL(9,C15:C17)</f>
        <v>4</v>
      </c>
      <c r="D18" s="854">
        <f>SUBTOTAL(9,D15:D17)</f>
        <v>50</v>
      </c>
    </row>
    <row r="19" spans="1:4" ht="16.5" customHeight="1" thickTop="1" thickBot="1">
      <c r="A19" s="796" t="str">
        <f>Datos!A19</f>
        <v>TOTAL JURISDICCIONES</v>
      </c>
      <c r="B19" s="801">
        <f>SUBTOTAL(9,B8:B18)</f>
        <v>325</v>
      </c>
      <c r="C19" s="802">
        <f>SUBTOTAL(9,C8:C18)</f>
        <v>159</v>
      </c>
      <c r="D19" s="803">
        <f>SUBTOTAL(9,D8:D18)</f>
        <v>1311</v>
      </c>
    </row>
    <row r="20" spans="1:4" ht="7.5" customHeight="1"/>
    <row r="21" spans="1:4" ht="6" customHeight="1"/>
    <row r="22" spans="1:4">
      <c r="A22" s="394" t="str">
        <f>Criterios!A4</f>
        <v>Fecha Informe: 03 may. 2024</v>
      </c>
    </row>
    <row r="27" spans="1:4">
      <c r="A27" s="417"/>
    </row>
  </sheetData>
  <sheetProtection algorithmName="SHA-512" hashValue="OXa/5buaxl4TvqWT27Ny+8QGUFgo+PkVvoHQj2ET6i1LfZYY2p6K6ryjfLjE3zO/lOiVlP+b4Phqev9c3Srxhg==" saltValue="GcptbQTvYwY4ZMbgpk6W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AVILA</v>
      </c>
    </row>
    <row r="4" spans="1:11" ht="10.5" customHeight="1" thickBot="1">
      <c r="B4" s="394" t="str">
        <f>Criterios!A11 &amp;"  "&amp;Criterios!B11</f>
        <v>Resumenes por Partidos Judiciales  ARENAS DE SAN PEDRO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-0.45454545454545453</v>
      </c>
      <c r="C10" s="459">
        <f>IF(ISNUMBER((Datos!J10-Datos!T10)/Datos!T10),(Datos!J10-Datos!T10)/Datos!T10," - ")</f>
        <v>3</v>
      </c>
      <c r="D10" s="459">
        <f>IF(ISNUMBER((Datos!K10-Datos!U10)/Datos!U10),(Datos!K10-Datos!U10)/Datos!U10," - ")</f>
        <v>-0.25</v>
      </c>
      <c r="E10" s="459">
        <f>IF(ISNUMBER((Datos!L10-Datos!V10)/Datos!V10),(Datos!L10-Datos!V10)/Datos!V10," - ")</f>
        <v>1</v>
      </c>
      <c r="F10" s="459">
        <f>IF(ISNUMBER((Datos!M10-Datos!W10)/Datos!W10),(Datos!M10-Datos!W10)/Datos!W10," - ")</f>
        <v>-0.42857142857142855</v>
      </c>
      <c r="G10" s="460">
        <f>IF(ISNUMBER((Datos!N10-Datos!X10)/Datos!X10),(Datos!N10-Datos!X10)/Datos!X10," - ")</f>
        <v>-1</v>
      </c>
      <c r="H10" s="458">
        <f>IF(ISNUMBER(((NºAsuntos!G10/NºAsuntos!E10)-Datos!BD10)/Datos!BD10),((NºAsuntos!G10/NºAsuntos!E10)-Datos!BD10)/Datos!BD10," - ")</f>
        <v>-0.8125</v>
      </c>
      <c r="I10" s="459">
        <f>IF(ISNUMBER(((NºAsuntos!I10/NºAsuntos!G10)-Datos!BE10)/Datos!BE10),((NºAsuntos!I10/NºAsuntos!G10)-Datos!BE10)/Datos!BE10," - ")</f>
        <v>1.6666666666666667</v>
      </c>
      <c r="J10" s="464">
        <f>IF(ISNUMBER((('Resol  Asuntos'!D10/NºAsuntos!G10)-Datos!BF10)/Datos!BF10),(('Resol  Asuntos'!D10/NºAsuntos!G10)-Datos!BF10)/Datos!BF10," - ")</f>
        <v>-0.23809523809523814</v>
      </c>
      <c r="K10" s="465">
        <f>IF(ISNUMBER((((NºAsuntos!C10+NºAsuntos!E10)/NºAsuntos!G10)-Datos!BG10)/Datos!BG10),(((NºAsuntos!C10+NºAsuntos!E10)/NºAsuntos!G10)-Datos!BG10)/Datos!BG10," - ")</f>
        <v>0.7142857142857143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-5.3784860557768925E-2</v>
      </c>
      <c r="C12" s="459">
        <f>IF(ISNUMBER(
   IF(J_V="SI",(Datos!J12-Datos!T12)/Datos!T12,(Datos!J12+Datos!Z12-(Datos!T12+Datos!AH12))/(Datos!T12+Datos!AH12))
     ),IF(J_V="SI",(Datos!J12-Datos!T12)/Datos!T12,(Datos!J12+Datos!Z12-(Datos!T12+Datos!AH12))/(Datos!T12+Datos!AH12))," - ")</f>
        <v>0.28186046511627905</v>
      </c>
      <c r="D12" s="459">
        <f>IF(ISNUMBER(
   IF(J_V="SI",(Datos!K12-Datos!U12)/Datos!U12,(Datos!K12+Datos!AA12-(Datos!U12+Datos!AI12))/(Datos!U12+Datos!AI12))
     ),IF(J_V="SI",(Datos!K12-Datos!U12)/Datos!U12,(Datos!K12+Datos!AA12-(Datos!U12+Datos!AI12))/(Datos!U12+Datos!AI12))," - ")</f>
        <v>-3.720508166969147E-2</v>
      </c>
      <c r="E12" s="459">
        <f>IF(ISNUMBER(
   IF(J_V="SI",(Datos!L12-Datos!V12)/Datos!V12,(Datos!L12+Datos!AB12-(Datos!V12+Datos!AJ12))/(Datos!V12+Datos!AJ12))
     ),IF(J_V="SI",(Datos!L12-Datos!V12)/Datos!V12,(Datos!L12+Datos!AB12-(Datos!V12+Datos!AJ12))/(Datos!V12+Datos!AJ12))," - ")</f>
        <v>0.66736842105263161</v>
      </c>
      <c r="F12" s="459">
        <f>IF(ISNUMBER((Datos!M12-Datos!W12)/Datos!W12),(Datos!M12-Datos!W12)/Datos!W12," - ")</f>
        <v>5.8608058608058608E-2</v>
      </c>
      <c r="G12" s="460">
        <f>IF(ISNUMBER((Datos!N12-Datos!X12)/Datos!X12),(Datos!N12-Datos!X12)/Datos!X12," - ")</f>
        <v>-0.39140811455847258</v>
      </c>
      <c r="H12" s="458">
        <f>IF(ISNUMBER(((NºAsuntos!G12/NºAsuntos!E12)-Datos!BD12)/Datos!BD12),((NºAsuntos!G12/NºAsuntos!E12)-Datos!BD12)/Datos!BD12," - ")</f>
        <v>-0.24890817329094214</v>
      </c>
      <c r="I12" s="459">
        <f>IF(ISNUMBER(((NºAsuntos!I12/NºAsuntos!G12)-Datos!BE12)/Datos!BE12),((NºAsuntos!I12/NºAsuntos!G12)-Datos!BE12)/Datos!BE12," - ")</f>
        <v>0.73180018850141382</v>
      </c>
      <c r="J12" s="464">
        <f>IF(ISNUMBER((('Resol  Asuntos'!D12/NºAsuntos!G12)-Datos!BF12)/Datos!BF12),(('Resol  Asuntos'!D12/NºAsuntos!G12)-Datos!BF12)/Datos!BF12," - ")</f>
        <v>-0.28360914974165402</v>
      </c>
      <c r="K12" s="465">
        <f>IF(ISNUMBER((((NºAsuntos!C12+NºAsuntos!E12)/NºAsuntos!G12)-Datos!BG12)/Datos!BG12),(((NºAsuntos!C12+NºAsuntos!E12)/NºAsuntos!G12)-Datos!BG12)/Datos!BG12," - ")</f>
        <v>0.22042174352452221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-6.2378167641325533E-2</v>
      </c>
      <c r="C13" s="858">
        <f>IF(ISNUMBER(
   IF(J_V="SI",(Datos!J13-Datos!T13)/Datos!T13,(Datos!J13+Datos!Z13-(Datos!T13+Datos!AH13))/(Datos!T13+Datos!AH13))
     ),IF(J_V="SI",(Datos!J13-Datos!T13)/Datos!T13,(Datos!J13+Datos!Z13-(Datos!T13+Datos!AH13))/(Datos!T13+Datos!AH13))," - ")</f>
        <v>0.28942486085343228</v>
      </c>
      <c r="D13" s="858">
        <f>IF(ISNUMBER(
   IF(J_V="SI",(Datos!K13-Datos!U13)/Datos!U13,(Datos!K13+Datos!AA13-(Datos!U13+Datos!AI13))/(Datos!U13+Datos!AI13))
     ),IF(J_V="SI",(Datos!K13-Datos!U13)/Datos!U13,(Datos!K13+Datos!AA13-(Datos!U13+Datos!AI13))/(Datos!U13+Datos!AI13))," - ")</f>
        <v>-3.8738738738738739E-2</v>
      </c>
      <c r="E13" s="858">
        <f>IF(ISNUMBER(
   IF(J_V="SI",(Datos!L13-Datos!V13)/Datos!V13,(Datos!L13+Datos!AB13-(Datos!V13+Datos!AJ13))/(Datos!V13+Datos!AJ13))
     ),IF(J_V="SI",(Datos!L13-Datos!V13)/Datos!V13,(Datos!L13+Datos!AB13-(Datos!V13+Datos!AJ13))/(Datos!V13+Datos!AJ13))," - ")</f>
        <v>0.6715176715176715</v>
      </c>
      <c r="F13" s="859">
        <f>IF(ISNUMBER((Datos!M13-Datos!W13)/Datos!W13),(Datos!M13-Datos!W13)/Datos!W13," - ")</f>
        <v>4.642857142857143E-2</v>
      </c>
      <c r="G13" s="860">
        <f>IF(ISNUMBER((Datos!N13-Datos!X13)/Datos!X13),(Datos!N13-Datos!X13)/Datos!X13," - ")</f>
        <v>-0.39285714285714285</v>
      </c>
      <c r="H13" s="860">
        <f>IF(ISNUMBER(((NºAsuntos!G13/NºAsuntos!E13)-Datos!BD13)/Datos!BD13),((NºAsuntos!G13/NºAsuntos!E13)-Datos!BD13)/Datos!BD13," - ")</f>
        <v>-0.25450385637436002</v>
      </c>
      <c r="I13" s="860">
        <f>IF(ISNUMBER(((NºAsuntos!I13/NºAsuntos!G13)-Datos!BE13)/Datos!BE13),((NºAsuntos!I13/NºAsuntos!G13)-Datos!BE13)/Datos!BE13," - ")</f>
        <v>0.73887967702400681</v>
      </c>
      <c r="J13" s="860">
        <f>IF(ISNUMBER((('Resol  Asuntos'!D13/NºAsuntos!G13)-Datos!BF13)/Datos!BF13),(('Resol  Asuntos'!D13/NºAsuntos!G13)-Datos!BF13)/Datos!BF13," - ")</f>
        <v>-0.28448856211307205</v>
      </c>
      <c r="K13" s="860">
        <f>IF(ISNUMBER((((NºAsuntos!C13+NºAsuntos!E13)/NºAsuntos!G13)-Datos!BG13)/Datos!BG13),(((NºAsuntos!C13+NºAsuntos!E13)/NºAsuntos!G13)-Datos!BG13)/Datos!BG13," - ")</f>
        <v>0.22338222793749052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6.1440677966101698E-2</v>
      </c>
      <c r="C16" s="459">
        <f>IF(ISNUMBER(
   IF(D_I="SI",(Datos!J16-Datos!T16)/Datos!T16,(Datos!J16+Datos!AD16-(Datos!T16+Datos!AL16))/(Datos!T16+Datos!AL16))
     ),IF(D_I="SI",(Datos!J16-Datos!T16)/Datos!T16,(Datos!J16+Datos!AD16-(Datos!T16+Datos!AL16))/(Datos!T16+Datos!AL16))," - ")</f>
        <v>0.15457115928369464</v>
      </c>
      <c r="D16" s="459">
        <f>IF(ISNUMBER(
   IF(D_I="SI",(Datos!K16-Datos!U16)/Datos!U16,(Datos!K16+Datos!AE16-(Datos!U16+Datos!AM16))/(Datos!U16+Datos!AM16))
     ),IF(D_I="SI",(Datos!K16-Datos!U16)/Datos!U16,(Datos!K16+Datos!AE16-(Datos!U16+Datos!AM16))/(Datos!U16+Datos!AM16))," - ")</f>
        <v>-0.11918604651162791</v>
      </c>
      <c r="E16" s="459">
        <f>IF(ISNUMBER(
   IF(D_I="SI",(Datos!L16-Datos!V16)/Datos!V16,(Datos!L16+Datos!AF16-(Datos!V16+Datos!AN16))/(Datos!V16+Datos!AN16))
     ),IF(D_I="SI",(Datos!L16-Datos!V16)/Datos!V16,(Datos!L16+Datos!AF16-(Datos!V16+Datos!AN16))/(Datos!V16+Datos!AN16))," - ")</f>
        <v>0.64870259481037928</v>
      </c>
      <c r="F16" s="459">
        <f>IF(ISNUMBER((Datos!M16-Datos!W16)/Datos!W16),(Datos!M16-Datos!W16)/Datos!W16," - ")</f>
        <v>0.10071942446043165</v>
      </c>
      <c r="G16" s="460">
        <f>IF(ISNUMBER((Datos!N16-Datos!X16)/Datos!X16),(Datos!N16-Datos!X16)/Datos!X16," - ")</f>
        <v>-0.17573872472783825</v>
      </c>
      <c r="H16" s="458">
        <f>IF(ISNUMBER(((NºAsuntos!G16/NºAsuntos!E16)-Datos!BD16)/Datos!BD16),((NºAsuntos!G16/NºAsuntos!E16)-Datos!BD16)/Datos!BD16," - ")</f>
        <v>-0.23710726150925482</v>
      </c>
      <c r="I16" s="459">
        <f>IF(ISNUMBER(((NºAsuntos!I16/NºAsuntos!G16)-Datos!BE16)/Datos!BE16),((NºAsuntos!I16/NºAsuntos!G16)-Datos!BE16)/Datos!BE16," - ")</f>
        <v>0.8717943650652491</v>
      </c>
      <c r="J16" s="464">
        <f>IF(ISNUMBER((('Resol  Asuntos'!D16/NºAsuntos!G16)-Datos!BF16)/Datos!BF16),(('Resol  Asuntos'!D16/NºAsuntos!G16)-Datos!BF16)/Datos!BF16," - ")</f>
        <v>0.24966165681316352</v>
      </c>
      <c r="K16" s="465">
        <f>IF(ISNUMBER((((NºAsuntos!C16+NºAsuntos!E16)/NºAsuntos!G16)-Datos!BG16)/Datos!BG16),(((NºAsuntos!C16+NºAsuntos!E16)/NºAsuntos!G16)-Datos!BG16)/Datos!BG16," - ")</f>
        <v>0.27824602421103167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-3.3898305084745763E-2</v>
      </c>
      <c r="C17" s="459">
        <f>IF(ISNUMBER(
   IF(D_I="SI",(Datos!J17-Datos!T17)/Datos!T17,(Datos!J17+Datos!AD17-(Datos!T17+Datos!AL17))/(Datos!T17+Datos!AL17))
     ),IF(D_I="SI",(Datos!J17-Datos!T17)/Datos!T17,(Datos!J17+Datos!AD17-(Datos!T17+Datos!AL17))/(Datos!T17+Datos!AL17))," - ")</f>
        <v>1.486842105263158</v>
      </c>
      <c r="D17" s="459">
        <f>IF(ISNUMBER(
   IF(D_I="SI",(Datos!K17-Datos!U17)/Datos!U17,(Datos!K17+Datos!AE17-(Datos!U17+Datos!AM17))/(Datos!U17+Datos!AM17))
     ),IF(D_I="SI",(Datos!K17-Datos!U17)/Datos!U17,(Datos!K17+Datos!AE17-(Datos!U17+Datos!AM17))/(Datos!U17+Datos!AM17))," - ")</f>
        <v>0.70512820512820518</v>
      </c>
      <c r="E17" s="459">
        <f>IF(ISNUMBER(
   IF(D_I="SI",(Datos!L17-Datos!V17)/Datos!V17,(Datos!L17+Datos!AF17-(Datos!V17+Datos!AN17))/(Datos!V17+Datos!AN17))
     ),IF(D_I="SI",(Datos!L17-Datos!V17)/Datos!V17,(Datos!L17+Datos!AF17-(Datos!V17+Datos!AN17))/(Datos!V17+Datos!AN17))," - ")</f>
        <v>1.4385964912280702</v>
      </c>
      <c r="F17" s="459">
        <f>IF(ISNUMBER((Datos!M17-Datos!W17)/Datos!W17),(Datos!M17-Datos!W17)/Datos!W17," - ")</f>
        <v>0.55555555555555558</v>
      </c>
      <c r="G17" s="460">
        <f>IF(ISNUMBER((Datos!N17-Datos!X17)/Datos!X17),(Datos!N17-Datos!X17)/Datos!X17," - ")</f>
        <v>-0.15492957746478872</v>
      </c>
      <c r="H17" s="458">
        <f>IF(ISNUMBER(((NºAsuntos!G17/NºAsuntos!E17)-Datos!BD17)/Datos!BD17),((NºAsuntos!G17/NºAsuntos!E17)-Datos!BD17)/Datos!BD17," - ")</f>
        <v>-0.31433998100664773</v>
      </c>
      <c r="I17" s="459">
        <f>IF(ISNUMBER(((NºAsuntos!I17/NºAsuntos!G17)-Datos!BE17)/Datos!BE17),((NºAsuntos!I17/NºAsuntos!G17)-Datos!BE17)/Datos!BE17," - ")</f>
        <v>0.43015433320142482</v>
      </c>
      <c r="J17" s="464">
        <f>IF(ISNUMBER((('Resol  Asuntos'!D17/NºAsuntos!G17)-Datos!BF17)/Datos!BF17),(('Resol  Asuntos'!D17/NºAsuntos!G17)-Datos!BF17)/Datos!BF17," - ")</f>
        <v>-8.7719298245614141E-2</v>
      </c>
      <c r="K17" s="465">
        <f>IF(ISNUMBER((((NºAsuntos!C17+NºAsuntos!E17)/NºAsuntos!G17)-Datos!BG17)/Datos!BG17),(((NºAsuntos!C17+NºAsuntos!E17)/NºAsuntos!G17)-Datos!BG17)/Datos!BG17," - ")</f>
        <v>6.8671679197994953E-2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5.0847457627118647E-2</v>
      </c>
      <c r="C18" s="858">
        <f>IF(ISNUMBER(
   IF(Criterios!B14="SI",(Datos!J18-Datos!T18)/Datos!T18,(Datos!J18+Datos!AD18-(Datos!T18+Datos!AL18))/(Datos!T18+Datos!AL18))
     ),IF(Criterios!B14="SI",(Datos!J18-Datos!T18)/Datos!T18,(Datos!J18+Datos!AD18-(Datos!T18+Datos!AL18))/(Datos!T18+Datos!AL18))," - ")</f>
        <v>0.2436235708003518</v>
      </c>
      <c r="D18" s="858">
        <f>IF(ISNUMBER(
   IF(Criterios!B14="SI",(Datos!K18-Datos!U18)/Datos!U18,(Datos!K18+Datos!AE18-(Datos!U18+Datos!AM18))/(Datos!U18+Datos!AM18))
     ),IF(Criterios!B14="SI",(Datos!K18-Datos!U18)/Datos!U18,(Datos!K18+Datos!AE18-(Datos!U18+Datos!AM18))/(Datos!U18+Datos!AM18))," - ")</f>
        <v>-6.126126126126126E-2</v>
      </c>
      <c r="E18" s="858">
        <f>IF(ISNUMBER(
   IF(Criterios!B14="SI",(Datos!L18-Datos!V18)/Datos!V18,(Datos!L18+Datos!AF18-(Datos!V18+Datos!AN18))/(Datos!V18+Datos!AN18))
     ),IF(Criterios!B14="SI",(Datos!L18-Datos!V18)/Datos!V18,(Datos!L18+Datos!AF18-(Datos!V18+Datos!AN18))/(Datos!V18+Datos!AN18))," - ")</f>
        <v>0.72939068100358428</v>
      </c>
      <c r="F18" s="859">
        <f>IF(ISNUMBER((Datos!M18-Datos!W18)/Datos!W18),(Datos!M18-Datos!W18)/Datos!W18," - ")</f>
        <v>0.12837837837837837</v>
      </c>
      <c r="G18" s="860">
        <f>IF(ISNUMBER((Datos!N18-Datos!X18)/Datos!X18),(Datos!N18-Datos!X18)/Datos!X18," - ")</f>
        <v>-0.17366946778711484</v>
      </c>
      <c r="H18" s="860">
        <f>IF(ISNUMBER(((NºAsuntos!G18/NºAsuntos!E18)-Datos!BD18)/Datos!BD18),((NºAsuntos!G18/NºAsuntos!E18)-Datos!BD18)/Datos!BD18," - ")</f>
        <v>-0.24515845406934514</v>
      </c>
      <c r="I18" s="860">
        <f>IF(ISNUMBER(((NºAsuntos!I18/NºAsuntos!G18)-Datos!BE18)/Datos!BE18),((NºAsuntos!I18/NºAsuntos!G18)-Datos!BE18)/Datos!BE18," - ")</f>
        <v>0.84224918993663966</v>
      </c>
      <c r="J18" s="860">
        <f>IF(ISNUMBER((('Resol  Asuntos'!D18/NºAsuntos!G18)-Datos!BF18)/Datos!BF18),(('Resol  Asuntos'!D18/NºAsuntos!G18)-Datos!BF18)/Datos!BF18," - ")</f>
        <v>0.20201535508637244</v>
      </c>
      <c r="K18" s="860">
        <f>IF(ISNUMBER((((NºAsuntos!C18+NºAsuntos!E18)/NºAsuntos!G18)-Datos!BG18)/Datos!BG18),(((NºAsuntos!C18+NºAsuntos!E18)/NºAsuntos!G18)-Datos!BG18)/Datos!BG18," - ")</f>
        <v>0.25940706168270755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-4.7892720306513406E-3</v>
      </c>
      <c r="C19" s="805">
        <f>IF(ISNUMBER(
   IF(J_V="SI",(Datos!J19-Datos!T19)/Datos!T19,(Datos!J19+Datos!Z19-(Datos!T19+Datos!AH19))/(Datos!T19+Datos!AH19))
     ),IF(J_V="SI",(Datos!J19-Datos!T19)/Datos!T19,(Datos!J19+Datos!Z19-(Datos!T19+Datos!AH19))/(Datos!T19+Datos!AH19))," - ")</f>
        <v>0.26591422121896163</v>
      </c>
      <c r="D19" s="805">
        <f>IF(ISNUMBER(
   IF(J_V="SI",(Datos!K19-Datos!U19)/Datos!U19,(Datos!K19+Datos!AA19-(Datos!U19+Datos!AI19))/(Datos!U19+Datos!AI19))
     ),IF(J_V="SI",(Datos!K19-Datos!U19)/Datos!U19,(Datos!K19+Datos!AA19-(Datos!U19+Datos!AI19))/(Datos!U19+Datos!AI19))," - ")</f>
        <v>-0.05</v>
      </c>
      <c r="E19" s="805">
        <f>IF(ISNUMBER(
   IF(J_V="SI",(Datos!L19-Datos!V19)/Datos!V19,(Datos!L19+Datos!AB19-(Datos!V19+Datos!AJ19))/(Datos!V19+Datos!AJ19))
     ),IF(J_V="SI",(Datos!L19-Datos!V19)/Datos!V19,(Datos!L19+Datos!AB19-(Datos!V19+Datos!AJ19))/(Datos!V19+Datos!AJ19))," - ")</f>
        <v>0.70259865255052933</v>
      </c>
      <c r="F19" s="806">
        <f>IF(ISNUMBER((Datos!M19-Datos!W19)/Datos!W19),(Datos!M19-Datos!W19)/Datos!W19," - ")</f>
        <v>7.476635514018691E-2</v>
      </c>
      <c r="G19" s="807">
        <f>IF(ISNUMBER((Datos!N19-Datos!X19)/Datos!X19),(Datos!N19-Datos!X19)/Datos!X19," - ")</f>
        <v>-0.25485008818342153</v>
      </c>
      <c r="H19" s="808">
        <f>IF(ISNUMBER((Tasas!B19-Datos!BD19)/Datos!BD19),(Tasas!B19-Datos!BD19)/Datos!BD19," - ")</f>
        <v>-0.24955420827389443</v>
      </c>
      <c r="I19" s="809">
        <f>IF(ISNUMBER((Tasas!C19-Datos!BE19)/Datos!BE19),(Tasas!C19-Datos!BE19)/Datos!BE19," - ")</f>
        <v>0.79220910794792554</v>
      </c>
      <c r="J19" s="810">
        <f>IF(ISNUMBER((Tasas!D19-Datos!BF19)/Datos!BF19),(Tasas!D19-Datos!BF19)/Datos!BF19," - ")</f>
        <v>-0.15642765450210899</v>
      </c>
      <c r="K19" s="810">
        <f>IF(ISNUMBER((Tasas!E19-Datos!BG19)/Datos!BG19),(Tasas!E19-Datos!BG19)/Datos!BG19," - ")</f>
        <v>0.24125902359458018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tdTHP4YnUPrm32ozO7A7GJp+L7qkdT6IyBri82mWldvgpUJtyoSgNGCAERoya7SRof8jhlasRvOpiDwItlzAg==" saltValue="gJpvG/mbFHpfX5z58FbO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AVILA</v>
      </c>
    </row>
    <row r="4" spans="1:7" ht="11.25" customHeight="1" thickBot="1">
      <c r="B4" s="394" t="str">
        <f>Criterios!A11 &amp;"  "&amp;Criterios!B11</f>
        <v>Resumenes por Partidos Judiciales  ARENAS DE SAN PEDRO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2</v>
      </c>
      <c r="D10" s="447">
        <f>IF(ISNUMBER('Resol  Asuntos'!D10/NºAsuntos!G10),'Resol  Asuntos'!D10/NºAsuntos!G10," - ")</f>
        <v>0.66666666666666663</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0.76995645863570394</v>
      </c>
      <c r="C12" s="446">
        <f>IF(ISNUMBER(NºAsuntos!I12/NºAsuntos!G12),NºAsuntos!I12/NºAsuntos!G12," - ")</f>
        <v>0.74646559849198868</v>
      </c>
      <c r="D12" s="447">
        <f>IF(ISNUMBER('Resol  Asuntos'!D12/NºAsuntos!G12),'Resol  Asuntos'!D12/NºAsuntos!G12," - ")</f>
        <v>0.27238454288407166</v>
      </c>
      <c r="E12" s="448">
        <f>IF(ISNUMBER((NºAsuntos!C12+NºAsuntos!E12)/NºAsuntos!G12),(NºAsuntos!C12+NºAsuntos!E12)/NºAsuntos!G12," - ")</f>
        <v>1.7464655984919888</v>
      </c>
      <c r="G12" s="466"/>
    </row>
    <row r="13" spans="1:7" ht="14.25" thickTop="1" thickBot="1">
      <c r="A13" s="851" t="str">
        <f>Datos!A13</f>
        <v>TOTAL</v>
      </c>
      <c r="B13" s="861">
        <f>IF(ISNUMBER(NºAsuntos!G13/NºAsuntos!E13),NºAsuntos!G13/NºAsuntos!E13," - ")</f>
        <v>0.76762589928057556</v>
      </c>
      <c r="C13" s="862">
        <f>IF(ISNUMBER(NºAsuntos!I13/NºAsuntos!G13),NºAsuntos!I13/NºAsuntos!G13," - ")</f>
        <v>0.75351452671040298</v>
      </c>
      <c r="D13" s="863">
        <f>IF(ISNUMBER('Resol  Asuntos'!D13/NºAsuntos!G13),'Resol  Asuntos'!D13/NºAsuntos!G13," - ")</f>
        <v>0.274601686972821</v>
      </c>
      <c r="E13" s="864">
        <f>IF(ISNUMBER((NºAsuntos!C13+NºAsuntos!E13)/NºAsuntos!G13),(NºAsuntos!C13+NºAsuntos!E13)/NºAsuntos!G13," - ")</f>
        <v>1.7535145267104031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0.74204081632653063</v>
      </c>
      <c r="C16" s="446">
        <f>IF(ISNUMBER(NºAsuntos!I16/NºAsuntos!G16),NºAsuntos!I16/NºAsuntos!G16," - ")</f>
        <v>0.90869086908690866</v>
      </c>
      <c r="D16" s="447">
        <f>IF(ISNUMBER('Resol  Asuntos'!D16/NºAsuntos!G16),'Resol  Asuntos'!D16/NºAsuntos!G16," - ")</f>
        <v>0.16831683168316833</v>
      </c>
      <c r="E16" s="448">
        <f>IF(ISNUMBER((NºAsuntos!C16+NºAsuntos!E16)/NºAsuntos!G16),(NºAsuntos!C16+NºAsuntos!E16)/NºAsuntos!G16," - ")</f>
        <v>1.8987898789878987</v>
      </c>
      <c r="G16" s="466"/>
    </row>
    <row r="17" spans="1:7" ht="13.5" thickBot="1">
      <c r="A17" s="405" t="str">
        <f>Datos!A17</f>
        <v>Jdos. Violencia contra la mujer</v>
      </c>
      <c r="B17" s="445">
        <f>IF(ISNUMBER(NºAsuntos!G17/NºAsuntos!E17),NºAsuntos!G17/NºAsuntos!E17," - ")</f>
        <v>0.70370370370370372</v>
      </c>
      <c r="C17" s="446">
        <f>IF(ISNUMBER(NºAsuntos!I17/NºAsuntos!G17),NºAsuntos!I17/NºAsuntos!G17," - ")</f>
        <v>1.0451127819548873</v>
      </c>
      <c r="D17" s="447">
        <f>IF(ISNUMBER('Resol  Asuntos'!D17/NºAsuntos!G17),'Resol  Asuntos'!D17/NºAsuntos!G17," - ")</f>
        <v>0.10526315789473684</v>
      </c>
      <c r="E17" s="448">
        <f>IF(ISNUMBER((NºAsuntos!C17+NºAsuntos!E17)/NºAsuntos!G17),(NºAsuntos!C17+NºAsuntos!E17)/NºAsuntos!G17," - ")</f>
        <v>1.8496240601503759</v>
      </c>
      <c r="G17" s="466"/>
    </row>
    <row r="18" spans="1:7" ht="14.25" thickTop="1" thickBot="1">
      <c r="A18" s="851" t="str">
        <f>Datos!A18</f>
        <v>TOTAL</v>
      </c>
      <c r="B18" s="861">
        <f>IF(ISNUMBER(NºAsuntos!G18/NºAsuntos!E18),NºAsuntos!G18/NºAsuntos!E18," - ")</f>
        <v>0.73691654879773694</v>
      </c>
      <c r="C18" s="862">
        <f>IF(ISNUMBER(NºAsuntos!I18/NºAsuntos!G18),NºAsuntos!I18/NºAsuntos!G18," - ")</f>
        <v>0.92610364683301338</v>
      </c>
      <c r="D18" s="865">
        <f>IF(ISNUMBER('Resol  Asuntos'!D18/NºAsuntos!G18),'Resol  Asuntos'!D18/NºAsuntos!G18," - ")</f>
        <v>0.16026871401151632</v>
      </c>
      <c r="E18" s="864">
        <f>IF(ISNUMBER((NºAsuntos!C18+NºAsuntos!E18)/NºAsuntos!G18),(NºAsuntos!C18+NºAsuntos!E18)/NºAsuntos!G18," - ")</f>
        <v>1.892514395393474</v>
      </c>
      <c r="G18" s="466"/>
    </row>
    <row r="19" spans="1:7" ht="15.75" customHeight="1" thickTop="1" thickBot="1">
      <c r="A19" s="796" t="str">
        <f>Datos!A19</f>
        <v>TOTAL JURISDICCIONES</v>
      </c>
      <c r="B19" s="811">
        <f>IF(ISNUMBER(NºAsuntos!G19/NºAsuntos!E19),NºAsuntos!G19/NºAsuntos!E19," - ")</f>
        <v>0.75213980028530669</v>
      </c>
      <c r="C19" s="812">
        <f>IF(ISNUMBER(NºAsuntos!I19/NºAsuntos!G19),NºAsuntos!I19/NºAsuntos!G19," - ")</f>
        <v>0.83878615457562822</v>
      </c>
      <c r="D19" s="813">
        <f>IF(ISNUMBER('Resol  Asuntos'!D19/NºAsuntos!G19),'Resol  Asuntos'!D19/NºAsuntos!G19," - ")</f>
        <v>0.21811284969179706</v>
      </c>
      <c r="E19" s="814">
        <f>IF(ISNUMBER((NºAsuntos!C19+NºAsuntos!E19)/NºAsuntos!G19),(NºAsuntos!C19+NºAsuntos!E19)/NºAsuntos!G19," - ")</f>
        <v>1.8221906116642959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ETpT7kSiS3sj/AQCxfDiBnDjw6eblwk0pOHPg0uDj7Pp3vUMDxCp8uLj9J+6Gdg5+UwMLeBfs0QptJNDTxS9Q==" saltValue="/tlL5XHhzK8Vum8IB/jD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AVILA</v>
      </c>
      <c r="N2" s="265" t="str">
        <f>Criterios!A11 &amp;"  "&amp;Criterios!B11</f>
        <v>Resumenes por Partidos Judiciales  ARENAS DE SAN PEDRO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0</v>
      </c>
      <c r="Y10" s="337">
        <f t="shared" ref="Y10:Y12" si="0">SUM(W10:X10)</f>
        <v>6</v>
      </c>
      <c r="Z10" s="338" t="str">
        <f>IF(ISNUMBER(Datos!CC10),Datos!CC10," - ")</f>
        <v xml:space="preserve"> - </v>
      </c>
      <c r="AA10" s="335">
        <f>IF(ISNUMBER(Datos!L10),Datos!L10,"-")</f>
        <v>12</v>
      </c>
      <c r="AB10" s="337">
        <f>IF(ISNUMBER(Datos!R10),Datos!R10," - ")</f>
        <v>0</v>
      </c>
      <c r="AC10" s="337">
        <f t="shared" ref="AC10:AC12" si="1">IF(ISNUMBER(AA10+AB10),AA10+AB10," - ")</f>
        <v>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22</v>
      </c>
      <c r="AN10" s="247">
        <f>IF(ISNUMBER('Resol  Asuntos'!D10/NºAsuntos!G10),'Resol  Asuntos'!D10/NºAsuntos!G10," - ")</f>
        <v>0.66666666666666663</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315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155</v>
      </c>
      <c r="Y12" s="337">
        <f t="shared" si="0"/>
        <v>155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1261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289</v>
      </c>
      <c r="AJ12" s="232" t="str">
        <f>IF(ISNUMBER(Datos!BW12),Datos!BW12," - ")</f>
        <v xml:space="preserve"> - </v>
      </c>
      <c r="AK12" s="231" t="str">
        <f>IF(ISNUMBER(Datos!BX12),Datos!BX12," - ")</f>
        <v xml:space="preserve"> - </v>
      </c>
      <c r="AL12" s="246">
        <f>IF(ISNUMBER(NºAsuntos!G12/NºAsuntos!E12),NºAsuntos!G12/NºAsuntos!E12," - ")</f>
        <v>0.76995645863570394</v>
      </c>
      <c r="AM12" s="263">
        <f>IF(ISNUMBER(((NºAsuntos!I12/NºAsuntos!G12)*11)/factor_trimestre),((NºAsuntos!I12/NºAsuntos!G12)*11)/factor_trimestre," - ")</f>
        <v>8.2111215834118756</v>
      </c>
      <c r="AN12" s="247">
        <f>IF(ISNUMBER('Resol  Asuntos'!D12/NºAsuntos!G12),'Resol  Asuntos'!D12/NºAsuntos!G12," - ")</f>
        <v>0.27238454288407166</v>
      </c>
      <c r="AO12" s="248">
        <f>IF(ISNUMBER((NºAsuntos!C12+NºAsuntos!E12)/NºAsuntos!G12),(NºAsuntos!C12+NºAsuntos!E12)/NºAsuntos!G12," - ")</f>
        <v>1.7464655984919888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6</v>
      </c>
      <c r="G13" s="869">
        <f t="shared" si="3"/>
        <v>6</v>
      </c>
      <c r="H13" s="868">
        <f t="shared" si="3"/>
        <v>0</v>
      </c>
      <c r="I13" s="870">
        <f t="shared" si="3"/>
        <v>0</v>
      </c>
      <c r="J13" s="870">
        <f t="shared" si="3"/>
        <v>0</v>
      </c>
      <c r="K13" s="870">
        <f t="shared" si="3"/>
        <v>0</v>
      </c>
      <c r="L13" s="870">
        <f t="shared" si="3"/>
        <v>315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155</v>
      </c>
      <c r="Y13" s="871">
        <f t="shared" si="4"/>
        <v>161</v>
      </c>
      <c r="Z13" s="871">
        <f t="shared" si="4"/>
        <v>0</v>
      </c>
      <c r="AA13" s="871">
        <f t="shared" si="4"/>
        <v>12</v>
      </c>
      <c r="AB13" s="871">
        <f t="shared" si="4"/>
        <v>1261</v>
      </c>
      <c r="AC13" s="871">
        <f t="shared" si="4"/>
        <v>12</v>
      </c>
      <c r="AD13" s="871">
        <f t="shared" si="4"/>
        <v>0</v>
      </c>
      <c r="AE13" s="875">
        <f t="shared" si="4"/>
        <v>0</v>
      </c>
      <c r="AF13" s="868">
        <f t="shared" si="4"/>
        <v>0</v>
      </c>
      <c r="AG13" s="876">
        <f t="shared" si="4"/>
        <v>0</v>
      </c>
      <c r="AH13" s="873">
        <f t="shared" si="4"/>
        <v>0</v>
      </c>
      <c r="AI13" s="868">
        <f t="shared" si="4"/>
        <v>293</v>
      </c>
      <c r="AJ13" s="870">
        <f t="shared" si="4"/>
        <v>0</v>
      </c>
      <c r="AK13" s="873">
        <f>SUBTOTAL(9,AK9:AK12)</f>
        <v>0</v>
      </c>
      <c r="AL13" s="877">
        <f>IF(ISNUMBER(NºAsuntos!G13/NºAsuntos!E13),NºAsuntos!G13/NºAsuntos!E13," - ")</f>
        <v>0.76762589928057556</v>
      </c>
      <c r="AM13" s="877">
        <f>IF(ISNUMBER(((NºAsuntos!I13/NºAsuntos!G13)*11)/factor_trimestre),((NºAsuntos!I13/NºAsuntos!G13)*11)/factor_trimestre," - ")</f>
        <v>8.288659793814432</v>
      </c>
      <c r="AN13" s="878">
        <f>IF(ISNUMBER('Resol  Asuntos'!D13/NºAsuntos!G13),'Resol  Asuntos'!D13/NºAsuntos!G13," - ")</f>
        <v>0.274601686972821</v>
      </c>
      <c r="AO13" s="879">
        <f>IF(ISNUMBER((NºAsuntos!C13+NºAsuntos!E13)/NºAsuntos!G13),(NºAsuntos!C13+NºAsuntos!E13)/NºAsuntos!G13," - ")</f>
        <v>1.7535145267104031</v>
      </c>
      <c r="AP13" s="880" t="str">
        <f t="shared" si="2"/>
        <v xml:space="preserve"> - </v>
      </c>
      <c r="AQ13" s="880">
        <f>IF(ISNUMBER((H13-W13+K13)/(F13)),(H13-W13+K13)/(F13)," - ")</f>
        <v>-1</v>
      </c>
      <c r="AR13" s="881">
        <f>IF(ISNUMBER((Datos!P13-Datos!Q13)/(Datos!R13-Datos!P13+Datos!Q13)),(Datos!P13-Datos!Q13)/(Datos!R13-Datos!P13+Datos!Q13)," - ")</f>
        <v>0.14532243415077203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510</v>
      </c>
      <c r="G16" s="336">
        <f>IF(ISNUMBER(IF(D_I="SI",Datos!I16,Datos!I16+Datos!AC16)),IF(D_I="SI",Datos!I16,Datos!I16+Datos!AC16)," - ")</f>
        <v>501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909</v>
      </c>
      <c r="X16" s="229">
        <f>IF(ISNUMBER(Datos!Q16),Datos!Q16," - ")</f>
        <v>4</v>
      </c>
      <c r="Y16" s="337">
        <f t="shared" ref="Y16:Y17" si="7">SUM(W16:X16)</f>
        <v>913</v>
      </c>
      <c r="Z16" s="338" t="str">
        <f>IF(ISNUMBER(Datos!CC16),Datos!CC16," - ")</f>
        <v xml:space="preserve"> - </v>
      </c>
      <c r="AA16" s="335">
        <f>IF(ISNUMBER(IF(D_I="SI",Datos!L16,Datos!L16+Datos!AF16)),IF(D_I="SI",Datos!L16,Datos!L16+Datos!AF16)," - ")</f>
        <v>826</v>
      </c>
      <c r="AB16" s="337">
        <f>IF(ISNUMBER(Datos!R16),Datos!R16," - ")</f>
        <v>50</v>
      </c>
      <c r="AC16" s="337">
        <f t="shared" si="6"/>
        <v>876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153</v>
      </c>
      <c r="AJ16" s="234" t="str">
        <f>IF(ISNUMBER(Datos!BW16),Datos!BW16," - ")</f>
        <v xml:space="preserve"> - </v>
      </c>
      <c r="AK16" s="235" t="str">
        <f>IF(ISNUMBER(Datos!BX16),Datos!BX16," - ")</f>
        <v xml:space="preserve"> - </v>
      </c>
      <c r="AL16" s="246">
        <f>IF(ISNUMBER(NºAsuntos!G16/NºAsuntos!E16),NºAsuntos!G16/NºAsuntos!E16," - ")</f>
        <v>0.74204081632653063</v>
      </c>
      <c r="AM16" s="263">
        <f>IF(ISNUMBER(((NºAsuntos!I16/NºAsuntos!G16)*11)/factor_trimestre),((NºAsuntos!I16/NºAsuntos!G16)*11)/factor_trimestre," - ")</f>
        <v>9.9955995599559948</v>
      </c>
      <c r="AN16" s="247">
        <f>IF(ISNUMBER('Resol  Asuntos'!D16/NºAsuntos!G16),'Resol  Asuntos'!D16/NºAsuntos!G16," - ")</f>
        <v>0.16831683168316833</v>
      </c>
      <c r="AO16" s="248">
        <f>IF(ISNUMBER((NºAsuntos!C16+NºAsuntos!E16)/NºAsuntos!G16),(NºAsuntos!C16+NºAsuntos!E16)/NºAsuntos!G16," - ")</f>
        <v>1.8987898789878987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133</v>
      </c>
      <c r="X17" s="229">
        <f>IF(ISNUMBER(Datos!Q17),Datos!Q17," - ")</f>
        <v>0</v>
      </c>
      <c r="Y17" s="337">
        <f t="shared" si="7"/>
        <v>133</v>
      </c>
      <c r="Z17" s="338" t="str">
        <f>IF(ISNUMBER(Datos!CC17),Datos!CC17," - ")</f>
        <v xml:space="preserve"> - </v>
      </c>
      <c r="AA17" s="335">
        <f>IF(ISNUMBER(Datos!L17),Datos!L17,"-")</f>
        <v>139</v>
      </c>
      <c r="AB17" s="337">
        <f>IF(ISNUMBER(Datos!R17),Datos!R17," - ")</f>
        <v>0</v>
      </c>
      <c r="AC17" s="337">
        <f t="shared" si="6"/>
        <v>139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v>
      </c>
      <c r="AJ17" s="234" t="str">
        <f>IF(ISNUMBER(Datos!BW17),Datos!BW17," - ")</f>
        <v xml:space="preserve"> - </v>
      </c>
      <c r="AK17" s="235" t="str">
        <f>IF(ISNUMBER(Datos!BX17),Datos!BX17," - ")</f>
        <v xml:space="preserve"> - </v>
      </c>
      <c r="AL17" s="246">
        <f>IF(ISNUMBER(NºAsuntos!G17/NºAsuntos!E17),NºAsuntos!G17/NºAsuntos!E17," - ")</f>
        <v>0.70370370370370372</v>
      </c>
      <c r="AM17" s="263">
        <f>IF(ISNUMBER(((NºAsuntos!I17/NºAsuntos!G17)*11)/factor_trimestre),((NºAsuntos!I17/NºAsuntos!G17)*11)/factor_trimestre," - ")</f>
        <v>11.496240601503761</v>
      </c>
      <c r="AN17" s="247">
        <f>IF(ISNUMBER('Resol  Asuntos'!D17/NºAsuntos!G17),'Resol  Asuntos'!D17/NºAsuntos!G17," - ")</f>
        <v>0.10526315789473684</v>
      </c>
      <c r="AO17" s="248">
        <f>IF(ISNUMBER((NºAsuntos!C17+NºAsuntos!E17)/NºAsuntos!G17),(NºAsuntos!C17+NºAsuntos!E17)/NºAsuntos!G17," - ")</f>
        <v>1.8496240601503759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510</v>
      </c>
      <c r="G18" s="869">
        <f>SUBTOTAL(9,G15:G17)</f>
        <v>558</v>
      </c>
      <c r="H18" s="868">
        <f t="shared" ref="H18:O18" si="10">SUBTOTAL(9,H14:H17)</f>
        <v>0</v>
      </c>
      <c r="I18" s="870">
        <f t="shared" si="10"/>
        <v>0</v>
      </c>
      <c r="J18" s="870">
        <f t="shared" si="10"/>
        <v>0</v>
      </c>
      <c r="K18" s="870">
        <f t="shared" si="10"/>
        <v>0</v>
      </c>
      <c r="L18" s="870">
        <f t="shared" si="10"/>
        <v>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1042</v>
      </c>
      <c r="X18" s="870">
        <f t="shared" si="11"/>
        <v>4</v>
      </c>
      <c r="Y18" s="871">
        <f t="shared" si="11"/>
        <v>1046</v>
      </c>
      <c r="Z18" s="871">
        <f t="shared" si="11"/>
        <v>0</v>
      </c>
      <c r="AA18" s="871">
        <f t="shared" si="11"/>
        <v>965</v>
      </c>
      <c r="AB18" s="871">
        <f t="shared" si="11"/>
        <v>50</v>
      </c>
      <c r="AC18" s="871">
        <f t="shared" si="11"/>
        <v>1015</v>
      </c>
      <c r="AD18" s="871">
        <f t="shared" si="11"/>
        <v>0</v>
      </c>
      <c r="AE18" s="875">
        <f t="shared" si="11"/>
        <v>0</v>
      </c>
      <c r="AF18" s="868">
        <f t="shared" si="11"/>
        <v>0</v>
      </c>
      <c r="AG18" s="876">
        <f t="shared" si="11"/>
        <v>0</v>
      </c>
      <c r="AH18" s="873">
        <f t="shared" si="11"/>
        <v>0</v>
      </c>
      <c r="AI18" s="868">
        <f t="shared" si="11"/>
        <v>167</v>
      </c>
      <c r="AJ18" s="870">
        <f t="shared" si="11"/>
        <v>0</v>
      </c>
      <c r="AK18" s="873">
        <f t="shared" si="11"/>
        <v>0</v>
      </c>
      <c r="AL18" s="877">
        <f>IF(ISNUMBER(NºAsuntos!G18/NºAsuntos!E18),NºAsuntos!G18/NºAsuntos!E18," - ")</f>
        <v>0.73691654879773694</v>
      </c>
      <c r="AM18" s="877">
        <f>IF(ISNUMBER(((NºAsuntos!I18/NºAsuntos!G18)*11)/factor_trimestre),((NºAsuntos!I18/NºAsuntos!G18)*11)/factor_trimestre," - ")</f>
        <v>10.187140115163148</v>
      </c>
      <c r="AN18" s="878">
        <f>IF(ISNUMBER('Resol  Asuntos'!D18/NºAsuntos!G18),'Resol  Asuntos'!D18/NºAsuntos!G18," - ")</f>
        <v>0.16026871401151632</v>
      </c>
      <c r="AO18" s="879">
        <f>IF(ISNUMBER((NºAsuntos!C18+NºAsuntos!E18)/NºAsuntos!G18),(NºAsuntos!C18+NºAsuntos!E18)/NºAsuntos!G18," - ")</f>
        <v>1.892514395393474</v>
      </c>
      <c r="AP18" s="880" t="str">
        <f t="shared" si="2"/>
        <v xml:space="preserve"> - </v>
      </c>
      <c r="AQ18" s="880">
        <f>IF(ISNUMBER((H18-W18+K18)/(F18)),(H18-W18+K18)/(F18)," - ")</f>
        <v>-2.0431372549019606</v>
      </c>
      <c r="AR18" s="881">
        <f>IF(ISNUMBER((Datos!P18-Datos!Q18)/(Datos!R18-Datos!P18+Datos!Q18)),(Datos!P18-Datos!Q18)/(Datos!R18-Datos!P18+Datos!Q18)," - ")</f>
        <v>0.13636363636363635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516</v>
      </c>
      <c r="G19" s="824">
        <f t="shared" si="13"/>
        <v>564</v>
      </c>
      <c r="H19" s="823">
        <f t="shared" si="13"/>
        <v>0</v>
      </c>
      <c r="I19" s="825">
        <f t="shared" si="13"/>
        <v>0</v>
      </c>
      <c r="J19" s="825">
        <f t="shared" si="13"/>
        <v>0</v>
      </c>
      <c r="K19" s="884">
        <f t="shared" si="13"/>
        <v>0</v>
      </c>
      <c r="L19" s="825">
        <f t="shared" si="13"/>
        <v>325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1048</v>
      </c>
      <c r="X19" s="824">
        <f t="shared" si="14"/>
        <v>159</v>
      </c>
      <c r="Y19" s="831">
        <f t="shared" si="14"/>
        <v>1207</v>
      </c>
      <c r="Z19" s="831">
        <f t="shared" si="14"/>
        <v>0</v>
      </c>
      <c r="AA19" s="831">
        <f t="shared" si="14"/>
        <v>977</v>
      </c>
      <c r="AB19" s="831">
        <f t="shared" si="14"/>
        <v>1311</v>
      </c>
      <c r="AC19" s="831">
        <f t="shared" si="14"/>
        <v>1027</v>
      </c>
      <c r="AD19" s="831">
        <f t="shared" si="14"/>
        <v>0</v>
      </c>
      <c r="AE19" s="833">
        <f t="shared" si="14"/>
        <v>0</v>
      </c>
      <c r="AF19" s="834">
        <f t="shared" si="14"/>
        <v>0</v>
      </c>
      <c r="AG19" s="835">
        <f t="shared" si="14"/>
        <v>0</v>
      </c>
      <c r="AH19" s="833">
        <f t="shared" si="14"/>
        <v>0</v>
      </c>
      <c r="AI19" s="823">
        <f t="shared" si="14"/>
        <v>460</v>
      </c>
      <c r="AJ19" s="823">
        <f t="shared" si="14"/>
        <v>0</v>
      </c>
      <c r="AK19" s="833">
        <f t="shared" si="14"/>
        <v>0</v>
      </c>
      <c r="AL19" s="887">
        <f>IF(ISNUMBER(NºAsuntos!G19/NºAsuntos!E19),NºAsuntos!G19/NºAsuntos!E19," - ")</f>
        <v>0.75213980028530669</v>
      </c>
      <c r="AM19" s="888">
        <f>IF(ISNUMBER(((NºAsuntos!I19/NºAsuntos!G19)*11)/factor_trimestre),((NºAsuntos!I19/NºAsuntos!G19)*11)/factor_trimestre," - ")</f>
        <v>9.2266477003319096</v>
      </c>
      <c r="AN19" s="888">
        <f>IF(ISNUMBER('Resol  Asuntos'!D19/NºAsuntos!G19),'Resol  Asuntos'!D19/NºAsuntos!G19," - ")</f>
        <v>0.21811284969179706</v>
      </c>
      <c r="AO19" s="889">
        <f>IF(ISNUMBER((NºAsuntos!C19+NºAsuntos!E19)/NºAsuntos!G19),(NºAsuntos!C19+NºAsuntos!E19)/NºAsuntos!G19," - ")</f>
        <v>1.8221906116642959</v>
      </c>
      <c r="AP19" s="890" t="str">
        <f t="shared" si="2"/>
        <v xml:space="preserve"> - </v>
      </c>
      <c r="AQ19" s="891">
        <f>IF(OR(ISNUMBER(FIND("01",Criterios!A8,1)),ISNUMBER(FIND("02",Criterios!A8,1)),ISNUMBER(FIND("03",Criterios!A8,1)),ISNUMBER(FIND("04",Criterios!A8,1))),(I19-W19+K19)/(F19-K19),(H19-W19+K19)/(F19-K19))</f>
        <v>-2.0310077519379846</v>
      </c>
      <c r="AR19" s="892">
        <f>IF(ISNUMBER((Datos!P19-Datos!Q19)/(Datos!R19-Datos!P19+Datos!Q19)),(Datos!P19-Datos!Q19)/(Datos!R19-Datos!P19+Datos!Q19)," - ")</f>
        <v>0.14497816593886462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225.6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290.98453567157139</v>
      </c>
      <c r="G21" s="256">
        <f>IF(ISNUMBER(STDEV(G8:G18)),STDEV(G8:G18),"-")</f>
        <v>278.93063653890727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512.63115394989404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126.34344726445717</v>
      </c>
      <c r="AJ21" s="255">
        <f t="shared" si="18"/>
        <v>0</v>
      </c>
      <c r="AK21" s="257">
        <f t="shared" si="18"/>
        <v>0</v>
      </c>
      <c r="AL21" s="252">
        <f t="shared" si="18"/>
        <v>0.10251131469676115</v>
      </c>
      <c r="AM21" s="253">
        <f t="shared" si="18"/>
        <v>5.1987437562131849</v>
      </c>
      <c r="AN21" s="253">
        <f t="shared" si="18"/>
        <v>0.20335382891298626</v>
      </c>
      <c r="AO21" s="254">
        <f t="shared" si="18"/>
        <v>0.48293584446907339</v>
      </c>
      <c r="AP21" s="294" t="str">
        <f t="shared" si="18"/>
        <v>-</v>
      </c>
      <c r="AQ21" s="295">
        <f t="shared" si="18"/>
        <v>0.73760942664949614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yYanD87LhxX0yhIH3eg2uiz3iCtP9ikYz0ioNXvnaCfmVzLShIZ8Ts+Sn/ZXezUepwlPbKOjygt8RES8CnzOdw==" saltValue="CrNaD0dFaw4t2p3EebC60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AVILA</v>
      </c>
      <c r="E3" s="266"/>
    </row>
    <row r="4" spans="2:20" ht="17.25" customHeight="1" thickBot="1">
      <c r="D4" s="265" t="str">
        <f>Criterios!A11 &amp;"  "&amp;Criterios!B11</f>
        <v>Resumenes por Partidos Judiciales  ARENAS DE SAN PEDRO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-0.45454545454545453</v>
      </c>
      <c r="E10" s="351">
        <f>IF(ISNUMBER((Datos!J10-Datos!T10)/Datos!T10),(Datos!J10-Datos!T10)/Datos!T10," - ")</f>
        <v>3</v>
      </c>
      <c r="F10" s="351">
        <f>IF(ISNUMBER((Datos!K10-Datos!U10)/Datos!U10),(Datos!K10-Datos!U10)/Datos!U10," - ")</f>
        <v>-0.25</v>
      </c>
      <c r="G10" s="352">
        <f>IF(ISNUMBER((Datos!L10-Datos!V10)/Datos!V10),(Datos!L10-Datos!V10)/Datos!V10," - ")</f>
        <v>1</v>
      </c>
      <c r="H10" s="233">
        <f>IF(ISNUMBER((Datos!M10-Datos!W10)/Datos!W10),(Datos!M10-Datos!W10)/Datos!W10," - ")</f>
        <v>-0.42857142857142855</v>
      </c>
      <c r="I10" s="353">
        <f>IF(ISNUMBER((Tasas!C10-Datos!BE10)/Datos!BE10),(Tasas!C10-Datos!BE10)/Datos!BE10," - ")</f>
        <v>1.6666666666666667</v>
      </c>
      <c r="J10" s="352">
        <f>IF(ISNUMBER((Tasas!D10-Datos!BF10)/Datos!BF10),(Tasas!D10-Datos!BF10)/Datos!BF10," - ")</f>
        <v>-0.23809523809523814</v>
      </c>
      <c r="K10" s="354">
        <f>IF(ISNUMBER((Tasas!E10-Datos!BG10)/Datos!BG10),(Tasas!E10-Datos!BG10)/Datos!BG10," - ")</f>
        <v>0.7142857142857143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5.8608058608058608E-2</v>
      </c>
      <c r="I12" s="353">
        <f>IF(ISNUMBER((Tasas!C12-Datos!BE12)/Datos!BE12),(Tasas!C12-Datos!BE12)/Datos!BE12," - ")</f>
        <v>0.73180018850141382</v>
      </c>
      <c r="J12" s="352">
        <f>IF(ISNUMBER((Tasas!D12-Datos!BF12)/Datos!BF12),(Tasas!D12-Datos!BF12)/Datos!BF12," - ")</f>
        <v>-0.28360914974165402</v>
      </c>
      <c r="K12" s="354">
        <f>IF(ISNUMBER((Tasas!E12-Datos!BG12)/Datos!BG12),(Tasas!E12-Datos!BG12)/Datos!BG12," - ")</f>
        <v>0.22042174352452221</v>
      </c>
      <c r="M12" t="e">
        <f>IF(Monitorios="SI",Datos!CE12,0)</f>
        <v>#REF!</v>
      </c>
      <c r="N12" t="e">
        <f>IF(Monitorios="SI",Datos!CF12,0)</f>
        <v>#REF!</v>
      </c>
      <c r="O12" t="e">
        <f>IF(Monitorios="SI",Datos!CG12,0)</f>
        <v>#REF!</v>
      </c>
      <c r="P12" t="e">
        <f>IF(Monitorios="SI",Datos!CH12,0)</f>
        <v>#REF!</v>
      </c>
      <c r="Q12">
        <f>IF(J_V="SI",0,Datos!AG12)</f>
        <v>13</v>
      </c>
      <c r="R12">
        <f>IF(J_V="SI",0,Datos!AH12)</f>
        <v>95</v>
      </c>
      <c r="S12">
        <f>IF(J_V="SI",0,Datos!AI12)</f>
        <v>87</v>
      </c>
      <c r="T12">
        <f>IF(J_V="SI",0,Datos!AJ12)</f>
        <v>21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4.642857142857143E-2</v>
      </c>
      <c r="I13" s="360">
        <f>IF(ISNUMBER((Tasas!C13-Datos!BE13)/Datos!BE13),(Tasas!C13-Datos!BE13)/Datos!BE13," - ")</f>
        <v>0.73887967702400681</v>
      </c>
      <c r="J13" s="358">
        <f>IF(ISNUMBER((Tasas!D13-Datos!BF13)/Datos!BF13),(Tasas!D13-Datos!BF13)/Datos!BF13," - ")</f>
        <v>-0.28448856211307205</v>
      </c>
      <c r="K13" s="361">
        <f>IF(ISNUMBER((Tasas!E13-Datos!BG13)/Datos!BG13),(Tasas!E13-Datos!BG13)/Datos!BG13," - ")</f>
        <v>0.22338222793749052</v>
      </c>
      <c r="M13" t="e">
        <f>IF(Monitorios="SI",Datos!CE13,0)</f>
        <v>#REF!</v>
      </c>
      <c r="N13" t="e">
        <f>IF(Monitorios="SI",Datos!CF13,0)</f>
        <v>#REF!</v>
      </c>
      <c r="O13" t="e">
        <f>IF(Monitorios="SI",Datos!CG13,0)</f>
        <v>#REF!</v>
      </c>
      <c r="P13" t="e">
        <f>IF(Monitorios="SI",Datos!CH13,0)</f>
        <v>#REF!</v>
      </c>
      <c r="Q13">
        <f>IF(J_V="SI",0,Datos!AG13)</f>
        <v>13</v>
      </c>
      <c r="R13">
        <f>IF(J_V="SI",0,Datos!AH13)</f>
        <v>95</v>
      </c>
      <c r="S13">
        <f>IF(J_V="SI",0,Datos!AI13)</f>
        <v>87</v>
      </c>
      <c r="T13">
        <f>IF(J_V="SI",0,Datos!AJ13)</f>
        <v>21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6.1440677966101698E-2</v>
      </c>
      <c r="E16" s="351">
        <f>IF(ISNUMBER(
   IF(D_I="SI",(Datos!J16-Datos!T16)/Datos!T16,(Datos!J16+Datos!AD16-(Datos!T16+Datos!AL16))/(Datos!T16+Datos!AL16))
     ),IF(D_I="SI",(Datos!J16-Datos!T16)/Datos!T16,(Datos!J16+Datos!AD16-(Datos!T16+Datos!AL16))/(Datos!T16+Datos!AL16))," - ")</f>
        <v>0.15457115928369464</v>
      </c>
      <c r="F16" s="351">
        <f>IF(ISNUMBER(
   IF(D_I="SI",(Datos!K16-Datos!U16)/Datos!U16,(Datos!K16+Datos!AE16-(Datos!U16+Datos!AM16))/(Datos!U16+Datos!AM16))
     ),IF(D_I="SI",(Datos!K16-Datos!U16)/Datos!U16,(Datos!K16+Datos!AE16-(Datos!U16+Datos!AM16))/(Datos!U16+Datos!AM16))," - ")</f>
        <v>-0.11918604651162791</v>
      </c>
      <c r="G16" s="352">
        <f>IF(ISNUMBER(
   IF(D_I="SI",(Datos!L16-Datos!V16)/Datos!V16,(Datos!L16+Datos!AF16-(Datos!V16+Datos!AN16))/(Datos!V16+Datos!AN16))
     ),IF(D_I="SI",(Datos!L16-Datos!V16)/Datos!V16,(Datos!L16+Datos!AF16-(Datos!V16+Datos!AN16))/(Datos!V16+Datos!AN16))," - ")</f>
        <v>0.64870259481037928</v>
      </c>
      <c r="H16" s="233">
        <f>IF(ISNUMBER((Datos!M16-Datos!W16)/Datos!W16),(Datos!M16-Datos!W16)/Datos!W16," - ")</f>
        <v>0.10071942446043165</v>
      </c>
      <c r="I16" s="353">
        <f>IF(ISNUMBER((Tasas!C16-Datos!BE16)/Datos!BE16),(Tasas!C16-Datos!BE16)/Datos!BE16," - ")</f>
        <v>0.8717943650652491</v>
      </c>
      <c r="J16" s="352">
        <f>IF(ISNUMBER((Tasas!D16-Datos!BF16)/Datos!BF16),(Tasas!D16-Datos!BF16)/Datos!BF16," - ")</f>
        <v>0.24966165681316352</v>
      </c>
      <c r="K16" s="354">
        <f>IF(ISNUMBER((Tasas!E16-Datos!BG16)/Datos!BG16),(Tasas!E16-Datos!BG16)/Datos!BG16," - ")</f>
        <v>0.27824602421103167</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-3.3898305084745763E-2</v>
      </c>
      <c r="E17" s="351">
        <f>IF(ISNUMBER(
   IF(D_I="SI",(Datos!J17-Datos!T17)/Datos!T17,(Datos!J17+Datos!AD17-(Datos!T17+Datos!AL17))/(Datos!T17+Datos!AL17))
     ),IF(D_I="SI",(Datos!J17-Datos!T17)/Datos!T17,(Datos!J17+Datos!AD17-(Datos!T17+Datos!AL17))/(Datos!T17+Datos!AL17))," - ")</f>
        <v>1.486842105263158</v>
      </c>
      <c r="F17" s="351">
        <f>IF(ISNUMBER(
   IF(D_I="SI",(Datos!K17-Datos!U17)/Datos!U17,(Datos!K17+Datos!AE17-(Datos!U17+Datos!AM17))/(Datos!U17+Datos!AM17))
     ),IF(D_I="SI",(Datos!K17-Datos!U17)/Datos!U17,(Datos!K17+Datos!AE17-(Datos!U17+Datos!AM17))/(Datos!U17+Datos!AM17))," - ")</f>
        <v>0.70512820512820518</v>
      </c>
      <c r="G17" s="352">
        <f>IF(ISNUMBER(
   IF(D_I="SI",(Datos!L17-Datos!V17)/Datos!V17,(Datos!L17+Datos!AF17-(Datos!V17+Datos!AN17))/(Datos!V17+Datos!AN17))
     ),IF(D_I="SI",(Datos!L17-Datos!V17)/Datos!V17,(Datos!L17+Datos!AF17-(Datos!V17+Datos!AN17))/(Datos!V17+Datos!AN17))," - ")</f>
        <v>1.4385964912280702</v>
      </c>
      <c r="H17" s="233">
        <f>IF(ISNUMBER((Datos!M17-Datos!W17)/Datos!W17),(Datos!M17-Datos!W17)/Datos!W17," - ")</f>
        <v>0.55555555555555558</v>
      </c>
      <c r="I17" s="353">
        <f>IF(ISNUMBER((Tasas!C17-Datos!BE17)/Datos!BE17),(Tasas!C17-Datos!BE17)/Datos!BE17," - ")</f>
        <v>0.43015433320142482</v>
      </c>
      <c r="J17" s="352">
        <f>IF(ISNUMBER((Tasas!D17-Datos!BF17)/Datos!BF17),(Tasas!D17-Datos!BF17)/Datos!BF17," - ")</f>
        <v>-8.7719298245614141E-2</v>
      </c>
      <c r="K17" s="354">
        <f>IF(ISNUMBER((Tasas!E17-Datos!BG17)/Datos!BG17),(Tasas!E17-Datos!BG17)/Datos!BG17," - ")</f>
        <v>6.8671679197994953E-2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5.0847457627118647E-2</v>
      </c>
      <c r="E18" s="357">
        <f>IF(ISNUMBER(
   IF(D_I="SI",(Datos!J18-Datos!T18)/Datos!T18,(Datos!J18+Datos!AD18-(Datos!T18+Datos!AL18))/(Datos!T18+Datos!AL18))
     ),IF(D_I="SI",(Datos!J18-Datos!T18)/Datos!T18,(Datos!J18+Datos!AD18-(Datos!T18+Datos!AL18))/(Datos!T18+Datos!AL18))," - ")</f>
        <v>0.2436235708003518</v>
      </c>
      <c r="F18" s="357">
        <f>IF(ISNUMBER(
   IF(D_I="SI",(Datos!K18-Datos!U18)/Datos!U18,(Datos!K18+Datos!AE18-(Datos!U18+Datos!AM18))/(Datos!U18+Datos!AM18))
     ),IF(D_I="SI",(Datos!K18-Datos!U18)/Datos!U18,(Datos!K18+Datos!AE18-(Datos!U18+Datos!AM18))/(Datos!U18+Datos!AM18))," - ")</f>
        <v>-6.126126126126126E-2</v>
      </c>
      <c r="G18" s="358">
        <f>IF(ISNUMBER(
   IF(D_I="SI",(Datos!L18-Datos!V18)/Datos!V18,(Datos!L18+Datos!AF18-(Datos!V18+Datos!AN18))/(Datos!V18+Datos!AN18))
     ),IF(D_I="SI",(Datos!L18-Datos!V18)/Datos!V18,(Datos!L18+Datos!AF18-(Datos!V18+Datos!AN18))/(Datos!V18+Datos!AN18))," - ")</f>
        <v>0.72939068100358428</v>
      </c>
      <c r="H18" s="359">
        <f>IF(ISNUMBER((Datos!M18-Datos!W18)/Datos!W18),(Datos!M18-Datos!W18)/Datos!W18," - ")</f>
        <v>0.12837837837837837</v>
      </c>
      <c r="I18" s="360">
        <f>IF(ISNUMBER((Tasas!C18-Datos!BE18)/Datos!BE18),(Tasas!C18-Datos!BE18)/Datos!BE18," - ")</f>
        <v>0.84224918993663966</v>
      </c>
      <c r="J18" s="358">
        <f>IF(ISNUMBER((Tasas!D18-Datos!BF18)/Datos!BF18),(Tasas!D18-Datos!BF18)/Datos!BF18," - ")</f>
        <v>0.20201535508637244</v>
      </c>
      <c r="K18" s="361">
        <f>IF(ISNUMBER((Tasas!E18-Datos!BG18)/Datos!BG18),(Tasas!E18-Datos!BG18)/Datos!BG18," - ")</f>
        <v>0.25940706168270755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-4.7892720306513406E-3</v>
      </c>
      <c r="E19" s="366">
        <f>IF(ISNUMBER(
   IF(J_V="SI",(Datos!J19-Datos!T19)/Datos!T19,(Datos!J19+Datos!Z19-(Datos!T19+Datos!AH19))/(Datos!T19+Datos!AH19))
     ),IF(J_V="SI",(Datos!J19-Datos!T19)/Datos!T19,(Datos!J19+Datos!Z19-(Datos!T19+Datos!AH19))/(Datos!T19+Datos!AH19))," - ")</f>
        <v>0.26591422121896163</v>
      </c>
      <c r="F19" s="366">
        <f>IF(ISNUMBER(
   IF(J_V="SI",(Datos!K19-Datos!U19)/Datos!U19,(Datos!K19+Datos!AA19-(Datos!U19+Datos!AI19))/(Datos!U19+Datos!AI19))
     ),IF(J_V="SI",(Datos!K19-Datos!U19)/Datos!U19,(Datos!K19+Datos!AA19-(Datos!U19+Datos!AI19))/(Datos!U19+Datos!AI19))," - ")</f>
        <v>-0.05</v>
      </c>
      <c r="G19" s="367">
        <f>IF(ISNUMBER(
   IF(J_V="SI",(Datos!L19-Datos!V19)/Datos!V19,(Datos!L19+Datos!AB19-(Datos!V19+Datos!AJ19))/(Datos!V19+Datos!AJ19))
     ),IF(J_V="SI",(Datos!L19-Datos!V19)/Datos!V19,(Datos!L19+Datos!AB19-(Datos!V19+Datos!AJ19))/(Datos!V19+Datos!AJ19))," - ")</f>
        <v>0.70259865255052933</v>
      </c>
      <c r="H19" s="368">
        <f>IF(ISNUMBER((Datos!M19-Datos!W19)/Datos!W19),(Datos!M19-Datos!W19)/Datos!W19," - ")</f>
        <v>7.476635514018691E-2</v>
      </c>
      <c r="I19" s="365">
        <f>IF(ISNUMBER((Tasas!C19-Datos!BE19)/Datos!BE19),(Tasas!C19-Datos!BE19)/Datos!BE19," - ")</f>
        <v>0.79220910794792554</v>
      </c>
      <c r="J19" s="366">
        <f>IF(ISNUMBER((Tasas!D19-Datos!BF19)/Datos!BF19),(Tasas!D19-Datos!BF19)/Datos!BF19," - ")</f>
        <v>-0.15642765450210899</v>
      </c>
      <c r="K19" s="367">
        <f>IF(ISNUMBER((Tasas!E19-Datos!BG19)/Datos!BG19),(Tasas!E19-Datos!BG19)/Datos!BG19," - ")</f>
        <v>0.24125902359458018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0.24409548870470463</v>
      </c>
      <c r="E21" s="281">
        <f t="shared" si="1"/>
        <v>1.3326724920049988</v>
      </c>
      <c r="F21" s="281">
        <f t="shared" si="1"/>
        <v>0.43158685593158658</v>
      </c>
      <c r="G21" s="282">
        <f t="shared" si="1"/>
        <v>0.35618604322341813</v>
      </c>
      <c r="H21" s="288">
        <f t="shared" si="1"/>
        <v>0.31275964709852722</v>
      </c>
      <c r="I21" s="280">
        <f t="shared" si="1"/>
        <v>0.41583067626932685</v>
      </c>
      <c r="J21" s="281">
        <f t="shared" si="1"/>
        <v>0.2434328334531215</v>
      </c>
      <c r="K21" s="282">
        <f t="shared" si="1"/>
        <v>0.21875026576051607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igR0m/2w+E/2sOaUnk2vZ0o1dviw9Fuqzt0jzzJ/UnXMSk59HiUCGfNpog9tfoVpE/Rj+uf9sxHGPEndbzPbw==" saltValue="YR7cI8yXkSnE4cmseur9Y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